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570" windowWidth="19215" windowHeight="11280" tabRatio="601" activeTab="1"/>
  </bookViews>
  <sheets>
    <sheet name="приложение 1" sheetId="24" r:id="rId1"/>
    <sheet name="приложение 2" sheetId="23" r:id="rId2"/>
    <sheet name="сравнительная" sheetId="25" r:id="rId3"/>
  </sheets>
  <definedNames>
    <definedName name="_xlnm.Print_Titles" localSheetId="1">'приложение 2'!$7:$7</definedName>
    <definedName name="_xlnm.Print_Area" localSheetId="1">'приложение 2'!$A$1:$N$67</definedName>
    <definedName name="_xlnm.Print_Area" localSheetId="2">сравнительная!$A$1:$P$65</definedName>
  </definedNames>
  <calcPr calcId="145621"/>
</workbook>
</file>

<file path=xl/calcChain.xml><?xml version="1.0" encoding="utf-8"?>
<calcChain xmlns="http://schemas.openxmlformats.org/spreadsheetml/2006/main">
  <c r="I48" i="23" l="1"/>
  <c r="I47" i="23"/>
  <c r="I45" i="23"/>
  <c r="I44" i="23"/>
  <c r="I36" i="23"/>
  <c r="I35" i="23"/>
  <c r="I30" i="23"/>
  <c r="I29" i="23"/>
  <c r="Q60" i="25"/>
  <c r="R60" i="25"/>
  <c r="Q61" i="25"/>
  <c r="R61" i="25"/>
  <c r="Q62" i="25"/>
  <c r="R62" i="25"/>
  <c r="Q64" i="25"/>
  <c r="R64" i="25"/>
  <c r="Q65" i="25"/>
  <c r="R65" i="25"/>
  <c r="Q54" i="25"/>
  <c r="R54" i="25"/>
  <c r="Q55" i="25"/>
  <c r="R55" i="25"/>
  <c r="Q26" i="25"/>
  <c r="Q32" i="25"/>
  <c r="Q41" i="25"/>
  <c r="Q44" i="25"/>
  <c r="R53" i="25" l="1"/>
  <c r="R63" i="25"/>
  <c r="Q53" i="25"/>
  <c r="Q63" i="25"/>
  <c r="I34" i="23"/>
  <c r="O34" i="25"/>
  <c r="O33" i="25"/>
  <c r="I50" i="23" l="1"/>
  <c r="P22" i="25"/>
  <c r="P21" i="25"/>
  <c r="O20" i="25"/>
  <c r="P19" i="25"/>
  <c r="P18" i="25"/>
  <c r="J17" i="25"/>
  <c r="K17" i="25"/>
  <c r="L17" i="25"/>
  <c r="M17" i="25"/>
  <c r="N17" i="25"/>
  <c r="O17" i="25"/>
  <c r="P92" i="25" l="1"/>
  <c r="O92" i="25"/>
  <c r="N92" i="25"/>
  <c r="M92" i="25"/>
  <c r="L92" i="25"/>
  <c r="K92" i="25"/>
  <c r="J92" i="25"/>
  <c r="I92" i="25"/>
  <c r="H92" i="25"/>
  <c r="P91" i="25"/>
  <c r="O91" i="25"/>
  <c r="N91" i="25"/>
  <c r="M91" i="25"/>
  <c r="L91" i="25"/>
  <c r="K91" i="25"/>
  <c r="J91" i="25"/>
  <c r="I91" i="25"/>
  <c r="H91" i="25"/>
  <c r="O90" i="25"/>
  <c r="H90" i="25"/>
  <c r="N89" i="25"/>
  <c r="M89" i="25"/>
  <c r="L89" i="25"/>
  <c r="K89" i="25"/>
  <c r="J89" i="25"/>
  <c r="N88" i="25"/>
  <c r="M88" i="25"/>
  <c r="L88" i="25"/>
  <c r="K88" i="25"/>
  <c r="J88" i="25"/>
  <c r="P86" i="25"/>
  <c r="O86" i="25"/>
  <c r="N86" i="25"/>
  <c r="M86" i="25"/>
  <c r="L86" i="25"/>
  <c r="K86" i="25"/>
  <c r="J86" i="25"/>
  <c r="I86" i="25"/>
  <c r="P85" i="25"/>
  <c r="O85" i="25"/>
  <c r="N85" i="25"/>
  <c r="M85" i="25"/>
  <c r="L85" i="25"/>
  <c r="K85" i="25"/>
  <c r="J85" i="25"/>
  <c r="I85" i="25"/>
  <c r="O84" i="25"/>
  <c r="P83" i="25"/>
  <c r="O83" i="25"/>
  <c r="N83" i="25"/>
  <c r="M83" i="25"/>
  <c r="L83" i="25"/>
  <c r="K83" i="25"/>
  <c r="J83" i="25"/>
  <c r="I83" i="25"/>
  <c r="P82" i="25"/>
  <c r="O82" i="25"/>
  <c r="N82" i="25"/>
  <c r="M82" i="25"/>
  <c r="L82" i="25"/>
  <c r="K82" i="25"/>
  <c r="J82" i="25"/>
  <c r="I82" i="25"/>
  <c r="O81" i="25"/>
  <c r="O77" i="25"/>
  <c r="N77" i="25"/>
  <c r="M77" i="25"/>
  <c r="L77" i="25"/>
  <c r="K77" i="25"/>
  <c r="J77" i="25"/>
  <c r="O76" i="25"/>
  <c r="N76" i="25"/>
  <c r="M76" i="25"/>
  <c r="L76" i="25"/>
  <c r="K76" i="25"/>
  <c r="J76" i="25"/>
  <c r="O74" i="25"/>
  <c r="N74" i="25"/>
  <c r="M74" i="25"/>
  <c r="L74" i="25"/>
  <c r="K74" i="25"/>
  <c r="O73" i="25"/>
  <c r="N73" i="25"/>
  <c r="M73" i="25"/>
  <c r="L73" i="25"/>
  <c r="K73" i="25"/>
  <c r="P71" i="25"/>
  <c r="O71" i="25"/>
  <c r="O80" i="25" s="1"/>
  <c r="N71" i="25"/>
  <c r="M71" i="25"/>
  <c r="L71" i="25"/>
  <c r="L80" i="25" s="1"/>
  <c r="L95" i="25" s="1"/>
  <c r="K71" i="25"/>
  <c r="K80" i="25" s="1"/>
  <c r="K95" i="25" s="1"/>
  <c r="J71" i="25"/>
  <c r="I71" i="25"/>
  <c r="P70" i="25"/>
  <c r="O70" i="25"/>
  <c r="N70" i="25"/>
  <c r="M70" i="25"/>
  <c r="M79" i="25" s="1"/>
  <c r="L70" i="25"/>
  <c r="L79" i="25" s="1"/>
  <c r="L94" i="25" s="1"/>
  <c r="K70" i="25"/>
  <c r="K79" i="25" s="1"/>
  <c r="J70" i="25"/>
  <c r="I70" i="25"/>
  <c r="O69" i="25"/>
  <c r="N69" i="25"/>
  <c r="M69" i="25"/>
  <c r="J69" i="25"/>
  <c r="O62" i="25"/>
  <c r="N62" i="25"/>
  <c r="M62" i="25"/>
  <c r="L62" i="25"/>
  <c r="K62" i="25"/>
  <c r="J62" i="25"/>
  <c r="O61" i="25"/>
  <c r="N61" i="25"/>
  <c r="M61" i="25"/>
  <c r="L61" i="25"/>
  <c r="K61" i="25"/>
  <c r="J61" i="25"/>
  <c r="J60" i="25"/>
  <c r="I59" i="25"/>
  <c r="H59" i="25"/>
  <c r="I58" i="25"/>
  <c r="P58" i="25" s="1"/>
  <c r="O57" i="25"/>
  <c r="O60" i="25" s="1"/>
  <c r="N57" i="25"/>
  <c r="N60" i="25" s="1"/>
  <c r="M57" i="25"/>
  <c r="M75" i="25" s="1"/>
  <c r="L57" i="25"/>
  <c r="K57" i="25"/>
  <c r="K60" i="25" s="1"/>
  <c r="J57" i="25"/>
  <c r="J75" i="25" s="1"/>
  <c r="I57" i="25"/>
  <c r="I75" i="25" s="1"/>
  <c r="H52" i="25"/>
  <c r="H50" i="25" s="1"/>
  <c r="H51" i="25"/>
  <c r="P50" i="25"/>
  <c r="P90" i="25" s="1"/>
  <c r="N50" i="25"/>
  <c r="N90" i="25" s="1"/>
  <c r="M50" i="25"/>
  <c r="M90" i="25" s="1"/>
  <c r="L50" i="25"/>
  <c r="L90" i="25" s="1"/>
  <c r="K50" i="25"/>
  <c r="K90" i="25" s="1"/>
  <c r="J50" i="25"/>
  <c r="J90" i="25" s="1"/>
  <c r="I50" i="25"/>
  <c r="I90" i="25" s="1"/>
  <c r="O49" i="25"/>
  <c r="I49" i="25"/>
  <c r="O48" i="25"/>
  <c r="I48" i="25"/>
  <c r="P48" i="25" s="1"/>
  <c r="N47" i="25"/>
  <c r="M47" i="25"/>
  <c r="L47" i="25"/>
  <c r="K47" i="25"/>
  <c r="J47" i="25"/>
  <c r="O46" i="25"/>
  <c r="I46" i="25"/>
  <c r="H46" i="25" s="1"/>
  <c r="O45" i="25"/>
  <c r="I45" i="25"/>
  <c r="N44" i="25"/>
  <c r="M44" i="25"/>
  <c r="L44" i="25"/>
  <c r="K44" i="25"/>
  <c r="J44" i="25"/>
  <c r="I43" i="25"/>
  <c r="H43" i="25" s="1"/>
  <c r="P42" i="25"/>
  <c r="R42" i="25" s="1"/>
  <c r="I42" i="25"/>
  <c r="H42" i="25" s="1"/>
  <c r="H41" i="25" s="1"/>
  <c r="O41" i="25"/>
  <c r="N41" i="25"/>
  <c r="M41" i="25"/>
  <c r="L41" i="25"/>
  <c r="K41" i="25"/>
  <c r="J41" i="25"/>
  <c r="P40" i="25"/>
  <c r="H40" i="25"/>
  <c r="P39" i="25"/>
  <c r="P38" i="25" s="1"/>
  <c r="H39" i="25"/>
  <c r="O38" i="25"/>
  <c r="N38" i="25"/>
  <c r="M38" i="25"/>
  <c r="L38" i="25"/>
  <c r="K38" i="25"/>
  <c r="J38" i="25"/>
  <c r="I38" i="25"/>
  <c r="J37" i="25"/>
  <c r="I37" i="25"/>
  <c r="I74" i="25" s="1"/>
  <c r="J36" i="25"/>
  <c r="I36" i="25"/>
  <c r="I73" i="25" s="1"/>
  <c r="O35" i="25"/>
  <c r="O72" i="25" s="1"/>
  <c r="N35" i="25"/>
  <c r="M35" i="25"/>
  <c r="L35" i="25"/>
  <c r="K35" i="25"/>
  <c r="P34" i="25"/>
  <c r="R34" i="25" s="1"/>
  <c r="S34" i="25" s="1"/>
  <c r="I34" i="25"/>
  <c r="H34" i="25"/>
  <c r="I33" i="25"/>
  <c r="O32" i="25"/>
  <c r="N32" i="25"/>
  <c r="M32" i="25"/>
  <c r="L32" i="25"/>
  <c r="K32" i="25"/>
  <c r="J32" i="25"/>
  <c r="N31" i="25"/>
  <c r="M31" i="25"/>
  <c r="L31" i="25"/>
  <c r="K31" i="25"/>
  <c r="N30" i="25"/>
  <c r="M30" i="25"/>
  <c r="L30" i="25"/>
  <c r="K30" i="25"/>
  <c r="N29" i="25"/>
  <c r="K29" i="25"/>
  <c r="O28" i="25"/>
  <c r="O89" i="25" s="1"/>
  <c r="I28" i="25"/>
  <c r="O27" i="25"/>
  <c r="O9" i="25" s="1"/>
  <c r="I27" i="25"/>
  <c r="I88" i="25" s="1"/>
  <c r="N26" i="25"/>
  <c r="M26" i="25"/>
  <c r="L26" i="25"/>
  <c r="K26" i="25"/>
  <c r="J26" i="25"/>
  <c r="P25" i="25"/>
  <c r="H25" i="25"/>
  <c r="P24" i="25"/>
  <c r="H24" i="25"/>
  <c r="P23" i="25"/>
  <c r="N23" i="25"/>
  <c r="M23" i="25"/>
  <c r="L23" i="25"/>
  <c r="K23" i="25"/>
  <c r="K87" i="25" s="1"/>
  <c r="J23" i="25"/>
  <c r="I23" i="25"/>
  <c r="H23" i="25"/>
  <c r="H22" i="25"/>
  <c r="H21" i="25"/>
  <c r="H85" i="25" s="1"/>
  <c r="P20" i="25"/>
  <c r="P84" i="25" s="1"/>
  <c r="N20" i="25"/>
  <c r="N84" i="25" s="1"/>
  <c r="M20" i="25"/>
  <c r="M84" i="25" s="1"/>
  <c r="L20" i="25"/>
  <c r="L84" i="25" s="1"/>
  <c r="K20" i="25"/>
  <c r="K84" i="25" s="1"/>
  <c r="J20" i="25"/>
  <c r="J84" i="25" s="1"/>
  <c r="I20" i="25"/>
  <c r="I84" i="25" s="1"/>
  <c r="H19" i="25"/>
  <c r="H71" i="25" s="1"/>
  <c r="H18" i="25"/>
  <c r="H70" i="25" s="1"/>
  <c r="P17" i="25"/>
  <c r="P69" i="25" s="1"/>
  <c r="L69" i="25"/>
  <c r="K69" i="25"/>
  <c r="I17" i="25"/>
  <c r="I69" i="25" s="1"/>
  <c r="H16" i="25"/>
  <c r="H15" i="25"/>
  <c r="H82" i="25" s="1"/>
  <c r="P14" i="25"/>
  <c r="P81" i="25" s="1"/>
  <c r="N14" i="25"/>
  <c r="N81" i="25" s="1"/>
  <c r="M14" i="25"/>
  <c r="M81" i="25" s="1"/>
  <c r="L14" i="25"/>
  <c r="L81" i="25" s="1"/>
  <c r="K14" i="25"/>
  <c r="K81" i="25" s="1"/>
  <c r="J14" i="25"/>
  <c r="J81" i="25" s="1"/>
  <c r="I14" i="25"/>
  <c r="I81" i="25" s="1"/>
  <c r="H13" i="25"/>
  <c r="H12" i="25"/>
  <c r="P11" i="25"/>
  <c r="N11" i="25"/>
  <c r="N72" i="25" s="1"/>
  <c r="M11" i="25"/>
  <c r="M72" i="25" s="1"/>
  <c r="L11" i="25"/>
  <c r="L72" i="25" s="1"/>
  <c r="K11" i="25"/>
  <c r="K72" i="25" s="1"/>
  <c r="J11" i="25"/>
  <c r="I11" i="25"/>
  <c r="H11" i="25"/>
  <c r="N10" i="25"/>
  <c r="N65" i="25" s="1"/>
  <c r="M10" i="25"/>
  <c r="M65" i="25" s="1"/>
  <c r="L10" i="25"/>
  <c r="L65" i="25" s="1"/>
  <c r="K10" i="25"/>
  <c r="K55" i="25" s="1"/>
  <c r="J10" i="25"/>
  <c r="N9" i="25"/>
  <c r="N54" i="25" s="1"/>
  <c r="M9" i="25"/>
  <c r="M54" i="25" s="1"/>
  <c r="L9" i="25"/>
  <c r="K9" i="25"/>
  <c r="K64" i="25" s="1"/>
  <c r="J9" i="25"/>
  <c r="I9" i="25"/>
  <c r="H9" i="25"/>
  <c r="M8" i="25"/>
  <c r="J8" i="25"/>
  <c r="P76" i="25" l="1"/>
  <c r="P61" i="25"/>
  <c r="I72" i="25"/>
  <c r="K8" i="25"/>
  <c r="N8" i="25"/>
  <c r="H17" i="25"/>
  <c r="H69" i="25" s="1"/>
  <c r="L87" i="25"/>
  <c r="P36" i="25"/>
  <c r="S42" i="25"/>
  <c r="N55" i="25"/>
  <c r="N53" i="25" s="1"/>
  <c r="I61" i="25"/>
  <c r="N64" i="25"/>
  <c r="N63" i="25" s="1"/>
  <c r="M80" i="25"/>
  <c r="M95" i="25" s="1"/>
  <c r="N75" i="25"/>
  <c r="I76" i="25"/>
  <c r="O79" i="25"/>
  <c r="M29" i="25"/>
  <c r="I35" i="25"/>
  <c r="P37" i="25"/>
  <c r="P74" i="25" s="1"/>
  <c r="N87" i="25"/>
  <c r="H38" i="25"/>
  <c r="P46" i="25"/>
  <c r="R46" i="25" s="1"/>
  <c r="S46" i="25" s="1"/>
  <c r="H48" i="25"/>
  <c r="H47" i="25" s="1"/>
  <c r="O47" i="25"/>
  <c r="K54" i="25"/>
  <c r="K53" i="25" s="1"/>
  <c r="H58" i="25"/>
  <c r="M64" i="25"/>
  <c r="M63" i="25" s="1"/>
  <c r="K65" i="25"/>
  <c r="K63" i="25" s="1"/>
  <c r="I79" i="25"/>
  <c r="O75" i="25"/>
  <c r="N80" i="25"/>
  <c r="N95" i="25" s="1"/>
  <c r="O95" i="25"/>
  <c r="M53" i="25"/>
  <c r="J87" i="25"/>
  <c r="J74" i="25"/>
  <c r="J80" i="25" s="1"/>
  <c r="J95" i="25" s="1"/>
  <c r="J31" i="25"/>
  <c r="J55" i="25" s="1"/>
  <c r="H37" i="25"/>
  <c r="H74" i="25" s="1"/>
  <c r="O30" i="25"/>
  <c r="P45" i="25"/>
  <c r="O44" i="25"/>
  <c r="P49" i="25"/>
  <c r="H49" i="25"/>
  <c r="I47" i="25"/>
  <c r="L55" i="25"/>
  <c r="O78" i="25"/>
  <c r="H20" i="25"/>
  <c r="H84" i="25" s="1"/>
  <c r="H86" i="25"/>
  <c r="J35" i="25"/>
  <c r="J30" i="25"/>
  <c r="H36" i="25"/>
  <c r="J73" i="25"/>
  <c r="J79" i="25" s="1"/>
  <c r="I94" i="25"/>
  <c r="M94" i="25"/>
  <c r="M78" i="25"/>
  <c r="N79" i="25"/>
  <c r="K94" i="25"/>
  <c r="K93" i="25" s="1"/>
  <c r="K78" i="25"/>
  <c r="L54" i="25"/>
  <c r="L53" i="25" s="1"/>
  <c r="L8" i="25"/>
  <c r="L64" i="25"/>
  <c r="L63" i="25" s="1"/>
  <c r="J72" i="25"/>
  <c r="H14" i="25"/>
  <c r="H81" i="25" s="1"/>
  <c r="H83" i="25"/>
  <c r="H28" i="25"/>
  <c r="H89" i="25" s="1"/>
  <c r="I10" i="25"/>
  <c r="I89" i="25"/>
  <c r="L75" i="25"/>
  <c r="L60" i="25"/>
  <c r="H77" i="25"/>
  <c r="H62" i="25"/>
  <c r="L93" i="25"/>
  <c r="H33" i="25"/>
  <c r="H32" i="25" s="1"/>
  <c r="I32" i="25"/>
  <c r="M55" i="25"/>
  <c r="I8" i="25"/>
  <c r="M87" i="25"/>
  <c r="O64" i="25"/>
  <c r="P28" i="25"/>
  <c r="I30" i="25"/>
  <c r="I31" i="25"/>
  <c r="H31" i="25" s="1"/>
  <c r="P33" i="25"/>
  <c r="P43" i="25"/>
  <c r="M60" i="25"/>
  <c r="K75" i="25"/>
  <c r="L78" i="25"/>
  <c r="O88" i="25"/>
  <c r="O94" i="25" s="1"/>
  <c r="H88" i="25"/>
  <c r="H27" i="25"/>
  <c r="I26" i="25"/>
  <c r="L29" i="25"/>
  <c r="P47" i="25"/>
  <c r="I62" i="25"/>
  <c r="P59" i="25"/>
  <c r="H61" i="25"/>
  <c r="I64" i="25"/>
  <c r="O10" i="25"/>
  <c r="O26" i="25"/>
  <c r="P27" i="25"/>
  <c r="R27" i="25" s="1"/>
  <c r="O31" i="25"/>
  <c r="O67" i="25"/>
  <c r="I41" i="25"/>
  <c r="H45" i="25"/>
  <c r="H44" i="25" s="1"/>
  <c r="I44" i="25"/>
  <c r="I60" i="25"/>
  <c r="I77" i="25"/>
  <c r="I80" i="25" s="1"/>
  <c r="I51" i="23"/>
  <c r="I87" i="25" l="1"/>
  <c r="P88" i="25"/>
  <c r="R33" i="25"/>
  <c r="P44" i="25"/>
  <c r="R45" i="25"/>
  <c r="R26" i="25"/>
  <c r="S26" i="25" s="1"/>
  <c r="S27" i="25"/>
  <c r="P31" i="25"/>
  <c r="R43" i="25"/>
  <c r="P10" i="25"/>
  <c r="P65" i="25" s="1"/>
  <c r="R28" i="25"/>
  <c r="S28" i="25" s="1"/>
  <c r="M93" i="25"/>
  <c r="H35" i="25"/>
  <c r="H72" i="25" s="1"/>
  <c r="H76" i="25"/>
  <c r="H57" i="25"/>
  <c r="P73" i="25"/>
  <c r="P79" i="25" s="1"/>
  <c r="P35" i="25"/>
  <c r="P72" i="25" s="1"/>
  <c r="O93" i="25"/>
  <c r="I95" i="25"/>
  <c r="H80" i="25"/>
  <c r="H95" i="25" s="1"/>
  <c r="I78" i="25"/>
  <c r="P77" i="25"/>
  <c r="P80" i="25" s="1"/>
  <c r="P62" i="25"/>
  <c r="P57" i="25"/>
  <c r="N94" i="25"/>
  <c r="N93" i="25" s="1"/>
  <c r="N78" i="25"/>
  <c r="H79" i="25"/>
  <c r="H73" i="25"/>
  <c r="P9" i="25"/>
  <c r="P26" i="25"/>
  <c r="I29" i="25"/>
  <c r="H30" i="25"/>
  <c r="I93" i="25"/>
  <c r="J54" i="25"/>
  <c r="J53" i="25" s="1"/>
  <c r="J29" i="25"/>
  <c r="O54" i="25"/>
  <c r="O29" i="25"/>
  <c r="J64" i="25"/>
  <c r="O87" i="25"/>
  <c r="O66" i="25"/>
  <c r="P55" i="25"/>
  <c r="P41" i="25"/>
  <c r="O55" i="25"/>
  <c r="O8" i="25"/>
  <c r="O65" i="25"/>
  <c r="H26" i="25"/>
  <c r="H87" i="25" s="1"/>
  <c r="P32" i="25"/>
  <c r="P30" i="25"/>
  <c r="P29" i="25" s="1"/>
  <c r="O63" i="25"/>
  <c r="J65" i="25"/>
  <c r="I55" i="25"/>
  <c r="I65" i="25"/>
  <c r="I63" i="25" s="1"/>
  <c r="H10" i="25"/>
  <c r="J94" i="25"/>
  <c r="J93" i="25" s="1"/>
  <c r="J78" i="25"/>
  <c r="P89" i="25"/>
  <c r="I54" i="25"/>
  <c r="I53" i="25" s="1"/>
  <c r="I42" i="23"/>
  <c r="I41" i="23"/>
  <c r="I27" i="23"/>
  <c r="I26" i="23"/>
  <c r="P94" i="25" l="1"/>
  <c r="H60" i="25"/>
  <c r="H75" i="25"/>
  <c r="S43" i="25"/>
  <c r="R41" i="25"/>
  <c r="S41" i="25" s="1"/>
  <c r="R44" i="25"/>
  <c r="S44" i="25" s="1"/>
  <c r="S45" i="25"/>
  <c r="S33" i="25"/>
  <c r="R32" i="25"/>
  <c r="S32" i="25" s="1"/>
  <c r="H55" i="25"/>
  <c r="H8" i="25"/>
  <c r="J63" i="25"/>
  <c r="H63" i="25" s="1"/>
  <c r="P87" i="25"/>
  <c r="P75" i="25"/>
  <c r="P60" i="25"/>
  <c r="H78" i="25"/>
  <c r="H94" i="25"/>
  <c r="H93" i="25" s="1"/>
  <c r="H65" i="25"/>
  <c r="P54" i="25"/>
  <c r="P53" i="25" s="1"/>
  <c r="P8" i="25"/>
  <c r="P64" i="25"/>
  <c r="P63" i="25" s="1"/>
  <c r="O53" i="25"/>
  <c r="H29" i="25"/>
  <c r="H54" i="25"/>
  <c r="H53" i="25" s="1"/>
  <c r="H64" i="25"/>
  <c r="P95" i="25"/>
  <c r="P93" i="25" s="1"/>
  <c r="P78" i="25"/>
  <c r="K23" i="24"/>
  <c r="K14" i="24"/>
  <c r="K19" i="24"/>
  <c r="K25" i="24"/>
  <c r="K24" i="24"/>
  <c r="K22" i="24"/>
  <c r="K20" i="24"/>
  <c r="K18" i="24"/>
  <c r="K17" i="24"/>
  <c r="K16" i="24"/>
  <c r="K15" i="24"/>
  <c r="I39" i="23" l="1"/>
  <c r="I61" i="23"/>
  <c r="I60" i="23"/>
  <c r="I38" i="23"/>
  <c r="I63" i="23" l="1"/>
  <c r="J63" i="23"/>
  <c r="K63" i="23"/>
  <c r="L63" i="23"/>
  <c r="M63" i="23"/>
  <c r="N63" i="23"/>
  <c r="I64" i="23"/>
  <c r="J64" i="23"/>
  <c r="K64" i="23"/>
  <c r="L64" i="23"/>
  <c r="M64" i="23"/>
  <c r="N64" i="23"/>
  <c r="J33" i="23"/>
  <c r="K33" i="23"/>
  <c r="L33" i="23"/>
  <c r="M33" i="23"/>
  <c r="N33" i="23"/>
  <c r="I33" i="23"/>
  <c r="I52" i="23"/>
  <c r="J52" i="23"/>
  <c r="K52" i="23"/>
  <c r="L52" i="23"/>
  <c r="M52" i="23"/>
  <c r="N52" i="23"/>
  <c r="H54" i="23"/>
  <c r="H61" i="23" l="1"/>
  <c r="H64" i="23" s="1"/>
  <c r="J32" i="23" l="1"/>
  <c r="K32" i="23"/>
  <c r="L32" i="23"/>
  <c r="M32" i="23"/>
  <c r="N32" i="23"/>
  <c r="I32" i="23"/>
  <c r="N92" i="23" l="1"/>
  <c r="M92" i="23"/>
  <c r="J92" i="23"/>
  <c r="H79" i="23"/>
  <c r="H60" i="23"/>
  <c r="N59" i="23"/>
  <c r="M59" i="23"/>
  <c r="L59" i="23"/>
  <c r="K59" i="23"/>
  <c r="J59" i="23"/>
  <c r="I59" i="23"/>
  <c r="H51" i="23"/>
  <c r="H50" i="23"/>
  <c r="N49" i="23"/>
  <c r="M49" i="23"/>
  <c r="L49" i="23"/>
  <c r="K49" i="23"/>
  <c r="J49" i="23"/>
  <c r="I49" i="23"/>
  <c r="H48" i="23"/>
  <c r="H47" i="23"/>
  <c r="N46" i="23"/>
  <c r="M46" i="23"/>
  <c r="L46" i="23"/>
  <c r="K46" i="23"/>
  <c r="J46" i="23"/>
  <c r="I46" i="23"/>
  <c r="H45" i="23"/>
  <c r="H44" i="23"/>
  <c r="N43" i="23"/>
  <c r="M43" i="23"/>
  <c r="L43" i="23"/>
  <c r="K43" i="23"/>
  <c r="J43" i="23"/>
  <c r="I43" i="23"/>
  <c r="H42" i="23"/>
  <c r="H41" i="23"/>
  <c r="N40" i="23"/>
  <c r="M40" i="23"/>
  <c r="L40" i="23"/>
  <c r="K40" i="23"/>
  <c r="J40" i="23"/>
  <c r="I40" i="23"/>
  <c r="H39" i="23"/>
  <c r="H38" i="23"/>
  <c r="N37" i="23"/>
  <c r="M37" i="23"/>
  <c r="L37" i="23"/>
  <c r="K37" i="23"/>
  <c r="J37" i="23"/>
  <c r="I37" i="23"/>
  <c r="H36" i="23"/>
  <c r="H35" i="23"/>
  <c r="N34" i="23"/>
  <c r="M34" i="23"/>
  <c r="L34" i="23"/>
  <c r="K34" i="23"/>
  <c r="J34" i="23"/>
  <c r="H30" i="23"/>
  <c r="H29" i="23"/>
  <c r="N28" i="23"/>
  <c r="M28" i="23"/>
  <c r="L28" i="23"/>
  <c r="K28" i="23"/>
  <c r="J28" i="23"/>
  <c r="I28" i="23"/>
  <c r="H27" i="23"/>
  <c r="H26" i="23"/>
  <c r="N25" i="23"/>
  <c r="M25" i="23"/>
  <c r="L25" i="23"/>
  <c r="K25" i="23"/>
  <c r="J25" i="23"/>
  <c r="I25" i="23"/>
  <c r="H24" i="23"/>
  <c r="H88" i="23" s="1"/>
  <c r="H23" i="23"/>
  <c r="H87" i="23" s="1"/>
  <c r="N22" i="23"/>
  <c r="N86" i="23" s="1"/>
  <c r="M22" i="23"/>
  <c r="M86" i="23" s="1"/>
  <c r="L22" i="23"/>
  <c r="L86" i="23" s="1"/>
  <c r="K22" i="23"/>
  <c r="K86" i="23" s="1"/>
  <c r="J22" i="23"/>
  <c r="J86" i="23" s="1"/>
  <c r="I22" i="23"/>
  <c r="I86" i="23" s="1"/>
  <c r="H21" i="23"/>
  <c r="H73" i="23" s="1"/>
  <c r="H20" i="23"/>
  <c r="N19" i="23"/>
  <c r="N71" i="23" s="1"/>
  <c r="M19" i="23"/>
  <c r="M71" i="23" s="1"/>
  <c r="L19" i="23"/>
  <c r="L71" i="23" s="1"/>
  <c r="K19" i="23"/>
  <c r="K71" i="23" s="1"/>
  <c r="J19" i="23"/>
  <c r="J71" i="23" s="1"/>
  <c r="I19" i="23"/>
  <c r="I71" i="23" s="1"/>
  <c r="H18" i="23"/>
  <c r="H85" i="23" s="1"/>
  <c r="H17" i="23"/>
  <c r="N16" i="23"/>
  <c r="N83" i="23" s="1"/>
  <c r="M16" i="23"/>
  <c r="M83" i="23" s="1"/>
  <c r="L16" i="23"/>
  <c r="L83" i="23" s="1"/>
  <c r="K16" i="23"/>
  <c r="K83" i="23" s="1"/>
  <c r="J16" i="23"/>
  <c r="J83" i="23" s="1"/>
  <c r="I16" i="23"/>
  <c r="I83" i="23" s="1"/>
  <c r="H15" i="23"/>
  <c r="H14" i="23"/>
  <c r="N13" i="23"/>
  <c r="M13" i="23"/>
  <c r="L13" i="23"/>
  <c r="K13" i="23"/>
  <c r="J13" i="23"/>
  <c r="I13" i="23"/>
  <c r="I93" i="23"/>
  <c r="H53" i="23"/>
  <c r="H52" i="23" s="1"/>
  <c r="I12" i="23"/>
  <c r="J12" i="23"/>
  <c r="K12" i="23"/>
  <c r="L12" i="23"/>
  <c r="M12" i="23"/>
  <c r="N12" i="23"/>
  <c r="J93" i="23"/>
  <c r="K93" i="23"/>
  <c r="L93" i="23"/>
  <c r="M93" i="23"/>
  <c r="N93" i="23"/>
  <c r="J94" i="23"/>
  <c r="K94" i="23"/>
  <c r="L94" i="23"/>
  <c r="M94" i="23"/>
  <c r="N94" i="23"/>
  <c r="I94" i="23"/>
  <c r="J90" i="23"/>
  <c r="K90" i="23"/>
  <c r="L90" i="23"/>
  <c r="M90" i="23"/>
  <c r="N90" i="23"/>
  <c r="J91" i="23"/>
  <c r="K91" i="23"/>
  <c r="L91" i="23"/>
  <c r="M91" i="23"/>
  <c r="N91" i="23"/>
  <c r="I91" i="23"/>
  <c r="I90" i="23"/>
  <c r="J87" i="23"/>
  <c r="K87" i="23"/>
  <c r="L87" i="23"/>
  <c r="M87" i="23"/>
  <c r="N87" i="23"/>
  <c r="J88" i="23"/>
  <c r="K88" i="23"/>
  <c r="L88" i="23"/>
  <c r="M88" i="23"/>
  <c r="N88" i="23"/>
  <c r="I88" i="23"/>
  <c r="I87" i="23"/>
  <c r="J84" i="23"/>
  <c r="K84" i="23"/>
  <c r="L84" i="23"/>
  <c r="M84" i="23"/>
  <c r="N84" i="23"/>
  <c r="J85" i="23"/>
  <c r="K85" i="23"/>
  <c r="L85" i="23"/>
  <c r="M85" i="23"/>
  <c r="N85" i="23"/>
  <c r="I85" i="23"/>
  <c r="I84" i="23"/>
  <c r="J78" i="23"/>
  <c r="K78" i="23"/>
  <c r="L78" i="23"/>
  <c r="M78" i="23"/>
  <c r="N78" i="23"/>
  <c r="J79" i="23"/>
  <c r="K79" i="23"/>
  <c r="L79" i="23"/>
  <c r="M79" i="23"/>
  <c r="N79" i="23"/>
  <c r="I79" i="23"/>
  <c r="I78" i="23"/>
  <c r="J76" i="23"/>
  <c r="K76" i="23"/>
  <c r="L76" i="23"/>
  <c r="M76" i="23"/>
  <c r="N76" i="23"/>
  <c r="I76" i="23"/>
  <c r="J75" i="23"/>
  <c r="K75" i="23"/>
  <c r="L75" i="23"/>
  <c r="M75" i="23"/>
  <c r="N75" i="23"/>
  <c r="I75" i="23"/>
  <c r="J72" i="23"/>
  <c r="K72" i="23"/>
  <c r="L72" i="23"/>
  <c r="M72" i="23"/>
  <c r="N72" i="23"/>
  <c r="J73" i="23"/>
  <c r="K73" i="23"/>
  <c r="L73" i="23"/>
  <c r="M73" i="23"/>
  <c r="N73" i="23"/>
  <c r="I73" i="23"/>
  <c r="I72" i="23"/>
  <c r="I11" i="23"/>
  <c r="I56" i="23" s="1"/>
  <c r="H93" i="23"/>
  <c r="L92" i="23"/>
  <c r="L11" i="23"/>
  <c r="L56" i="23" s="1"/>
  <c r="M11" i="23"/>
  <c r="N11" i="23"/>
  <c r="I92" i="23"/>
  <c r="K92" i="23"/>
  <c r="J11" i="23"/>
  <c r="K11" i="23"/>
  <c r="K56" i="23" s="1"/>
  <c r="H94" i="23"/>
  <c r="J74" i="23" l="1"/>
  <c r="N74" i="23"/>
  <c r="L89" i="23"/>
  <c r="N77" i="23"/>
  <c r="N62" i="23"/>
  <c r="M77" i="23"/>
  <c r="M62" i="23"/>
  <c r="L77" i="23"/>
  <c r="L62" i="23"/>
  <c r="K77" i="23"/>
  <c r="K62" i="23"/>
  <c r="J69" i="23"/>
  <c r="H91" i="23"/>
  <c r="I77" i="23"/>
  <c r="I62" i="23"/>
  <c r="J77" i="23"/>
  <c r="J62" i="23"/>
  <c r="H78" i="23"/>
  <c r="H63" i="23"/>
  <c r="H76" i="23"/>
  <c r="J66" i="23"/>
  <c r="J56" i="23"/>
  <c r="N66" i="23"/>
  <c r="N56" i="23"/>
  <c r="M66" i="23"/>
  <c r="M56" i="23"/>
  <c r="H19" i="23"/>
  <c r="H71" i="23" s="1"/>
  <c r="H40" i="23"/>
  <c r="H43" i="23"/>
  <c r="H46" i="23"/>
  <c r="H49" i="23"/>
  <c r="M10" i="23"/>
  <c r="L10" i="23"/>
  <c r="L81" i="23"/>
  <c r="L96" i="23" s="1"/>
  <c r="L66" i="23"/>
  <c r="H72" i="23"/>
  <c r="K82" i="23"/>
  <c r="K97" i="23" s="1"/>
  <c r="H13" i="23"/>
  <c r="H16" i="23"/>
  <c r="H83" i="23" s="1"/>
  <c r="K10" i="23"/>
  <c r="M82" i="23"/>
  <c r="M97" i="23" s="1"/>
  <c r="N82" i="23"/>
  <c r="N97" i="23" s="1"/>
  <c r="I74" i="23"/>
  <c r="M74" i="23"/>
  <c r="L74" i="23"/>
  <c r="N81" i="23"/>
  <c r="J81" i="23"/>
  <c r="J96" i="23" s="1"/>
  <c r="H59" i="23"/>
  <c r="J82" i="23"/>
  <c r="K89" i="23"/>
  <c r="H25" i="23"/>
  <c r="H37" i="23"/>
  <c r="J89" i="23"/>
  <c r="N89" i="23"/>
  <c r="H90" i="23"/>
  <c r="H12" i="23"/>
  <c r="K74" i="23"/>
  <c r="M89" i="23"/>
  <c r="H84" i="23"/>
  <c r="K81" i="23"/>
  <c r="K96" i="23" s="1"/>
  <c r="I89" i="23"/>
  <c r="H32" i="23"/>
  <c r="H34" i="23"/>
  <c r="J10" i="23"/>
  <c r="I66" i="23"/>
  <c r="I81" i="23"/>
  <c r="I96" i="23" s="1"/>
  <c r="H22" i="23"/>
  <c r="H86" i="23" s="1"/>
  <c r="K66" i="23"/>
  <c r="H75" i="23"/>
  <c r="H11" i="23"/>
  <c r="N10" i="23"/>
  <c r="I82" i="23"/>
  <c r="L82" i="23"/>
  <c r="L97" i="23" s="1"/>
  <c r="M81" i="23"/>
  <c r="H28" i="23"/>
  <c r="H92" i="23"/>
  <c r="I10" i="23"/>
  <c r="H56" i="23" l="1"/>
  <c r="H77" i="23"/>
  <c r="H62" i="23"/>
  <c r="H66" i="23"/>
  <c r="N80" i="23"/>
  <c r="H74" i="23"/>
  <c r="J80" i="23"/>
  <c r="M80" i="23"/>
  <c r="N96" i="23"/>
  <c r="N95" i="23" s="1"/>
  <c r="K95" i="23"/>
  <c r="L95" i="23"/>
  <c r="K80" i="23"/>
  <c r="I80" i="23"/>
  <c r="J97" i="23"/>
  <c r="J95" i="23" s="1"/>
  <c r="M96" i="23"/>
  <c r="M95" i="23" s="1"/>
  <c r="H81" i="23"/>
  <c r="H96" i="23" s="1"/>
  <c r="H10" i="23"/>
  <c r="H82" i="23"/>
  <c r="H97" i="23" s="1"/>
  <c r="I97" i="23"/>
  <c r="I95" i="23" s="1"/>
  <c r="L80" i="23"/>
  <c r="H89" i="23"/>
  <c r="H80" i="23" l="1"/>
  <c r="H95" i="23"/>
  <c r="I31" i="23" l="1"/>
  <c r="I67" i="23"/>
  <c r="I65" i="23" s="1"/>
  <c r="I57" i="23"/>
  <c r="I55" i="23" s="1"/>
  <c r="M31" i="23"/>
  <c r="L31" i="23"/>
  <c r="L67" i="23"/>
  <c r="L65" i="23" s="1"/>
  <c r="J31" i="23"/>
  <c r="N31" i="23"/>
  <c r="N67" i="23"/>
  <c r="N65" i="23" s="1"/>
  <c r="H33" i="23"/>
  <c r="H31" i="23" s="1"/>
  <c r="M67" i="23"/>
  <c r="M65" i="23" s="1"/>
  <c r="M57" i="23"/>
  <c r="M55" i="23" s="1"/>
  <c r="J57" i="23"/>
  <c r="J55" i="23" s="1"/>
  <c r="J67" i="23"/>
  <c r="K31" i="23"/>
  <c r="N57" i="23"/>
  <c r="N55" i="23" s="1"/>
  <c r="K67" i="23"/>
  <c r="K65" i="23" s="1"/>
  <c r="L57" i="23"/>
  <c r="L55" i="23" s="1"/>
  <c r="K57" i="23"/>
  <c r="K55" i="23" s="1"/>
  <c r="H57" i="23" l="1"/>
  <c r="H55" i="23" s="1"/>
  <c r="H67" i="23"/>
  <c r="J65" i="23"/>
  <c r="H65" i="23" s="1"/>
</calcChain>
</file>

<file path=xl/sharedStrings.xml><?xml version="1.0" encoding="utf-8"?>
<sst xmlns="http://schemas.openxmlformats.org/spreadsheetml/2006/main" count="583" uniqueCount="133">
  <si>
    <t>Администрация города</t>
  </si>
  <si>
    <t>Всего</t>
  </si>
  <si>
    <t>№ п/п</t>
  </si>
  <si>
    <t>ВСЕГО ПО ПРОГРАММЕ:</t>
  </si>
  <si>
    <t>Цель: Обеспечение исполнения городом Ханты-Мансийском функций административного центра Ханты-Мансийского автономного округа - Югры</t>
  </si>
  <si>
    <t>Задача 2:  Обеспечение необходимых дополнительных мер безопасности и правопорядка во время проведения в городе Ханты-Мансийске мероприятий</t>
  </si>
  <si>
    <t>2.1.</t>
  </si>
  <si>
    <t>2.2.</t>
  </si>
  <si>
    <t>2.3.</t>
  </si>
  <si>
    <t>2.4.</t>
  </si>
  <si>
    <t>Организация культурной программы во время проведения праздничных мероприятий</t>
  </si>
  <si>
    <t>1.</t>
  </si>
  <si>
    <t>2.</t>
  </si>
  <si>
    <t>Мероприятия программы</t>
  </si>
  <si>
    <t>Главные распорядители бюджетных средств</t>
  </si>
  <si>
    <t>Финансовые затраты на реализацию, тыс.руб.</t>
  </si>
  <si>
    <t>МБУ "Молодежный центр"</t>
  </si>
  <si>
    <t>МКУ "Служба муниципального заказа в ЖКХ"</t>
  </si>
  <si>
    <t>Проведение противопаводковых мероприятий, направленных на обеспечение дополнительных мер безопасности</t>
  </si>
  <si>
    <t>1.2.</t>
  </si>
  <si>
    <t>Дума города</t>
  </si>
  <si>
    <t xml:space="preserve">Подготовка, оказание содействия и участие в проведении окружных, межрегиональных, всероссийских, международных культурно-спортивных мероприятиях </t>
  </si>
  <si>
    <t>МБУ "КДЦ "Октябрь"</t>
  </si>
  <si>
    <t xml:space="preserve">Обеспечение и организация работ (услуг) по праздничному оформлению административного центра автономного округа
</t>
  </si>
  <si>
    <t>Создание необходимых условий для развития инфраструктуры и формирования облика города Ханты-Мансийска как административного центра Ханты-Мансийского автономного округа-Югры</t>
  </si>
  <si>
    <t>Администрация города; Управление ФКС МПиТ; Департамент образования</t>
  </si>
  <si>
    <t>Управление ФКС МПиТ</t>
  </si>
  <si>
    <t>Департамент ГХ</t>
  </si>
  <si>
    <t>Департамент ГХ, Департамент ГА, Администрация города</t>
  </si>
  <si>
    <t>Департамент ГА</t>
  </si>
  <si>
    <t>МКУ "УКС"</t>
  </si>
  <si>
    <t>Департамент городского хозяйства</t>
  </si>
  <si>
    <t>Департамент градостроительства и архитектуры</t>
  </si>
  <si>
    <t>1</t>
  </si>
  <si>
    <t>2015 год</t>
  </si>
  <si>
    <t>Исполнители программы</t>
  </si>
  <si>
    <t>Источники финансирования</t>
  </si>
  <si>
    <t>Обеспечение и организация работ (услуг) по содержанию, реконструкции и благоустройству улиц, проездов,  дорог, тротуаров, водопропусков, светофорных и  иных объектов</t>
  </si>
  <si>
    <t>бюджет автономного округа</t>
  </si>
  <si>
    <t>Управление физической культуры, спорта и молодежной политики</t>
  </si>
  <si>
    <t>Департамент городского хозяйства, Муниципальное казенное учреждение "Управление капитального строительства" (далее - МКУ "УКС"), МБУ "КДЦ "Октябрь"</t>
  </si>
  <si>
    <t>Муниципальное казенное учреждение "Управление по делам гражданской обороны, предупреждению и ликвидации чрезвычайных ситуаций и обеспечению пожарной безопасности"</t>
  </si>
  <si>
    <t>2016 год</t>
  </si>
  <si>
    <t>Главный распорядитель бюджетных средств</t>
  </si>
  <si>
    <t>Управление бухгалтерского учета и использования финансовых средств</t>
  </si>
  <si>
    <t>Дума города Ханты-Мансийска</t>
  </si>
  <si>
    <t>3.</t>
  </si>
  <si>
    <t>МБУ "КДЦ "Октябрь"; МБУ "Молодежный центр"; Управление физической культуры, спорта и молодежной политики; МБОУ "ЦДО "Патриот"; Дума города; Департамент городского хозяйства</t>
  </si>
  <si>
    <t>1.1</t>
  </si>
  <si>
    <t>1.3.</t>
  </si>
  <si>
    <t>1.4.</t>
  </si>
  <si>
    <t>2.5.</t>
  </si>
  <si>
    <t>2017 год</t>
  </si>
  <si>
    <t>Задача 1: Участие в организации проведения мероприятий путем создания необходимых условий, связанных с обеспечением культурной программы мероприятий, развитием инфраструктуры административного центра автономного округа</t>
  </si>
  <si>
    <t>2.6.</t>
  </si>
  <si>
    <t>бюджет города</t>
  </si>
  <si>
    <t>всего</t>
  </si>
  <si>
    <t>в том числе: бюджет автономного округа</t>
  </si>
  <si>
    <t>2018 год</t>
  </si>
  <si>
    <t>2019 год</t>
  </si>
  <si>
    <t>2020 год</t>
  </si>
  <si>
    <t>КДЦ Октябрь</t>
  </si>
  <si>
    <t>МКУ ГО, ЧС и ОПБ</t>
  </si>
  <si>
    <t>Итого по Администрации</t>
  </si>
  <si>
    <t>Управление физической культуры</t>
  </si>
  <si>
    <t>Департамент градостроительства</t>
  </si>
  <si>
    <t>Обеспечение и организация работ (услуг) по развитию инфраструктуры города Ханты-Мансийска</t>
  </si>
  <si>
    <t>Обеспечение культурной программы мероприятий и организация праздничного оформления административного центра Ханты-Мансийского автономного округа - Югры</t>
  </si>
  <si>
    <t>Администрация города Ханты-Мансийска</t>
  </si>
  <si>
    <t xml:space="preserve"> Организация торжественных приемов гостей административного центра автономного округа, в период проведения региональных, окружных, всероссийских, международных  и иных социально-значимых мероприятий                                                                                                               </t>
  </si>
  <si>
    <t>Департамент городского хозяйства, Департамент градостроительства и архитектуры, Администрация города Ханты-Мансийска</t>
  </si>
  <si>
    <t>Департамент городского хозяйства, МКУ "Служба муниципального заказа в ЖКХ", МКУ "УКС", МБУ "КДЦ "Октябрь"</t>
  </si>
  <si>
    <t xml:space="preserve">Обеспечение и организация работ (услуг) по содержанию и сохранению объектов внешнего благоустройства (парки, площади, фонтаны, объекты озеленения, памятники истории, культуры и архитектуры и т.д.) </t>
  </si>
  <si>
    <t>Обеспечение работ (услуг) по содержанию объектов уличного освещения, архитектурно-художественной подсветке объектов</t>
  </si>
  <si>
    <t>Обеспечение и организация работ (услуг) по улучшению и сохранению архитектурного облика административного центра автономного округа</t>
  </si>
  <si>
    <t>Обеспечение работ (услуг) по санитарному содержанию мест отдыха и массового пребывания гостей и жителей административного центра автономного округа</t>
  </si>
  <si>
    <t>МКУ "Управление по делам гражданской обороны, предупреждению и ликвидации чрезвычайных ситуаций и обеспечению пожарной безопасности"</t>
  </si>
  <si>
    <t>Итого по задаче 1</t>
  </si>
  <si>
    <t>Итого по задаче 2</t>
  </si>
  <si>
    <t>Администрация города Ханты-Мансийска; Управление физической культуры, спорта и молодежной политики; Дума города Ханты-Мансийска; Департамент городского хозяйства</t>
  </si>
  <si>
    <t>Приложение</t>
  </si>
  <si>
    <t>МБУ "КДЦ "Октябрь"; МБУ "Молодежный центр"; МКУ "Управление логистики"; управление общественных связей; Дума города Ханты-Мансийска; Департамент городского хозяйства; МКУ "Служба муниципального заказа в ЖКХ"</t>
  </si>
  <si>
    <t>Система показателей, характеризующих результаты реализации муниципальной программы</t>
  </si>
  <si>
    <t>Наименование программы и срок ее реализации:</t>
  </si>
  <si>
    <t xml:space="preserve">«Осуществление городом Ханты-Мансийском функций административного центра Ханты-Мансийского автономного округа - Югры на 2015-2020 годы» </t>
  </si>
  <si>
    <t>Координатор:</t>
  </si>
  <si>
    <t>управление экономического развития и инвестиций Администрации города Ханты-Мансийска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</si>
  <si>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</si>
  <si>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</si>
  <si>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</si>
  <si>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Значение  показателя по годам</t>
  </si>
  <si>
    <t>Целевое значение показателя на момент окончания действия программы</t>
  </si>
  <si>
    <t>единиц</t>
  </si>
  <si>
    <t>Периодичность уборки улиц первой категории города в зимний период</t>
  </si>
  <si>
    <t>раз в год</t>
  </si>
  <si>
    <t>Количество приобретенной спецтехники</t>
  </si>
  <si>
    <t>5.</t>
  </si>
  <si>
    <t>Протяженность реконструированных объектов дорожного хозяйства</t>
  </si>
  <si>
    <t>метр</t>
  </si>
  <si>
    <t>Среднегодовая чиленность постоянного населения</t>
  </si>
  <si>
    <t>тыс. человек</t>
  </si>
  <si>
    <t>Количество гостей административного центра, в связи с проводимыми масштабными мероприятиями</t>
  </si>
  <si>
    <t>Объем инвестиций в основной капитал (за исключением бюджетных средств) в расчете на 1 жителя</t>
  </si>
  <si>
    <t>тыс. рублей</t>
  </si>
  <si>
    <t>млн. рублей</t>
  </si>
  <si>
    <t>Создание новых рабочих мест</t>
  </si>
  <si>
    <t>ежегодно</t>
  </si>
  <si>
    <t>не менее 300</t>
  </si>
  <si>
    <t>не менее 1800</t>
  </si>
  <si>
    <t>2015 год, утвержденная редакция</t>
  </si>
  <si>
    <t>Предлагаемые изменения (+;-)</t>
  </si>
  <si>
    <t>Уточненный план, 2015 год</t>
  </si>
  <si>
    <t>Сравнительная таблица вносимых изменений в муниципальную программу "Осуществление городом Ханты-Мансийском функций административного центра Ханты-Мансийского автономного округа - Югры на 2015-2020 годы"</t>
  </si>
  <si>
    <t>Финансовые затраты на реализацию, тыс. руб.</t>
  </si>
  <si>
    <t>1. Показатели непосредственных результатов</t>
  </si>
  <si>
    <t>1.1.</t>
  </si>
  <si>
    <t>2. Показатели конечных результатов</t>
  </si>
  <si>
    <t>Количество массовых мероприятий международного, всероссийского, межрегионального, окружного уровня, проводимых на территории города</t>
  </si>
  <si>
    <t>Количество предприятий, зарегистрированных на территории города (различной формы собственности)</t>
  </si>
  <si>
    <t>Площадь дорог 1 и 2 категории, объектов внешнего благоустройства, находящихся на обслуживании в муниципальных предприятиях</t>
  </si>
  <si>
    <t>тыс.кв.м.</t>
  </si>
  <si>
    <t>Периодичность уборки улиц 1 и 2 категории города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</si>
  <si>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</si>
  <si>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единиц в год</t>
  </si>
  <si>
    <t>тыс. человек в год</t>
  </si>
  <si>
    <t>Приложение 1</t>
  </si>
  <si>
    <t>к постановлению Администрации города Ханты-Мансийска от "___" _________2015 №________</t>
  </si>
  <si>
    <t>Приложение 2</t>
  </si>
  <si>
    <t>Перечень программных мероприятий</t>
  </si>
  <si>
    <t xml:space="preserve">Обеспечение культурной программы мероприятий и организация праздничного оформления административного центра Ханты-Мансийского автономного округа - Югры </t>
  </si>
  <si>
    <t xml:space="preserve">Создание необходимых условий для развития инфраструктуры и формирования облика города Ханты-Мансийска как административного центра Ханты-Мансийского автономного округа-Югры </t>
  </si>
  <si>
    <t>Управление общественных связей</t>
  </si>
  <si>
    <t>Дополнительные изменения от 23.12.2015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</si>
</sst>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 wrapText="1"/>
    </xf>
    <xf numFmtId="164" fontId="4" fillId="5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right" vertical="center" wrapText="1"/>
    </xf>
    <xf numFmtId="1" fontId="1" fillId="0" borderId="4" xfId="0" applyNumberFormat="1" applyFont="1" applyFill="1" applyBorder="1" applyAlignment="1">
      <alignment horizontal="right" vertical="center" wrapText="1"/>
    </xf>
    <xf numFmtId="1" fontId="1" fillId="0" borderId="5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B14" sqref="B14"/>
    </sheetView>
  </sheetViews>
  <sheetFormatPr defaultRowHeight="12.75" x14ac:dyDescent="0.2"/>
  <cols>
    <col min="1" max="1" width="4.7109375" style="53" customWidth="1"/>
    <col min="2" max="2" width="45.5703125" style="53" customWidth="1"/>
    <col min="3" max="3" width="15.85546875" style="53" customWidth="1"/>
    <col min="4" max="4" width="19.140625" style="53" customWidth="1"/>
    <col min="5" max="5" width="12.7109375" style="53" customWidth="1"/>
    <col min="6" max="6" width="12" style="53" customWidth="1"/>
    <col min="7" max="10" width="13.140625" style="53" customWidth="1"/>
    <col min="11" max="11" width="20" style="53" customWidth="1"/>
    <col min="12" max="12" width="11" style="53" customWidth="1"/>
    <col min="13" max="256" width="9.140625" style="53"/>
    <col min="257" max="257" width="4.7109375" style="53" customWidth="1"/>
    <col min="258" max="258" width="45.5703125" style="53" customWidth="1"/>
    <col min="259" max="259" width="15.85546875" style="53" customWidth="1"/>
    <col min="260" max="260" width="19.140625" style="53" customWidth="1"/>
    <col min="261" max="261" width="12.7109375" style="53" customWidth="1"/>
    <col min="262" max="262" width="12" style="53" customWidth="1"/>
    <col min="263" max="266" width="13.140625" style="53" customWidth="1"/>
    <col min="267" max="267" width="20" style="53" customWidth="1"/>
    <col min="268" max="268" width="11" style="53" customWidth="1"/>
    <col min="269" max="512" width="9.140625" style="53"/>
    <col min="513" max="513" width="4.7109375" style="53" customWidth="1"/>
    <col min="514" max="514" width="45.5703125" style="53" customWidth="1"/>
    <col min="515" max="515" width="15.85546875" style="53" customWidth="1"/>
    <col min="516" max="516" width="19.140625" style="53" customWidth="1"/>
    <col min="517" max="517" width="12.7109375" style="53" customWidth="1"/>
    <col min="518" max="518" width="12" style="53" customWidth="1"/>
    <col min="519" max="522" width="13.140625" style="53" customWidth="1"/>
    <col min="523" max="523" width="20" style="53" customWidth="1"/>
    <col min="524" max="524" width="11" style="53" customWidth="1"/>
    <col min="525" max="768" width="9.140625" style="53"/>
    <col min="769" max="769" width="4.7109375" style="53" customWidth="1"/>
    <col min="770" max="770" width="45.5703125" style="53" customWidth="1"/>
    <col min="771" max="771" width="15.85546875" style="53" customWidth="1"/>
    <col min="772" max="772" width="19.140625" style="53" customWidth="1"/>
    <col min="773" max="773" width="12.7109375" style="53" customWidth="1"/>
    <col min="774" max="774" width="12" style="53" customWidth="1"/>
    <col min="775" max="778" width="13.140625" style="53" customWidth="1"/>
    <col min="779" max="779" width="20" style="53" customWidth="1"/>
    <col min="780" max="780" width="11" style="53" customWidth="1"/>
    <col min="781" max="1024" width="9.140625" style="53"/>
    <col min="1025" max="1025" width="4.7109375" style="53" customWidth="1"/>
    <col min="1026" max="1026" width="45.5703125" style="53" customWidth="1"/>
    <col min="1027" max="1027" width="15.85546875" style="53" customWidth="1"/>
    <col min="1028" max="1028" width="19.140625" style="53" customWidth="1"/>
    <col min="1029" max="1029" width="12.7109375" style="53" customWidth="1"/>
    <col min="1030" max="1030" width="12" style="53" customWidth="1"/>
    <col min="1031" max="1034" width="13.140625" style="53" customWidth="1"/>
    <col min="1035" max="1035" width="20" style="53" customWidth="1"/>
    <col min="1036" max="1036" width="11" style="53" customWidth="1"/>
    <col min="1037" max="1280" width="9.140625" style="53"/>
    <col min="1281" max="1281" width="4.7109375" style="53" customWidth="1"/>
    <col min="1282" max="1282" width="45.5703125" style="53" customWidth="1"/>
    <col min="1283" max="1283" width="15.85546875" style="53" customWidth="1"/>
    <col min="1284" max="1284" width="19.140625" style="53" customWidth="1"/>
    <col min="1285" max="1285" width="12.7109375" style="53" customWidth="1"/>
    <col min="1286" max="1286" width="12" style="53" customWidth="1"/>
    <col min="1287" max="1290" width="13.140625" style="53" customWidth="1"/>
    <col min="1291" max="1291" width="20" style="53" customWidth="1"/>
    <col min="1292" max="1292" width="11" style="53" customWidth="1"/>
    <col min="1293" max="1536" width="9.140625" style="53"/>
    <col min="1537" max="1537" width="4.7109375" style="53" customWidth="1"/>
    <col min="1538" max="1538" width="45.5703125" style="53" customWidth="1"/>
    <col min="1539" max="1539" width="15.85546875" style="53" customWidth="1"/>
    <col min="1540" max="1540" width="19.140625" style="53" customWidth="1"/>
    <col min="1541" max="1541" width="12.7109375" style="53" customWidth="1"/>
    <col min="1542" max="1542" width="12" style="53" customWidth="1"/>
    <col min="1543" max="1546" width="13.140625" style="53" customWidth="1"/>
    <col min="1547" max="1547" width="20" style="53" customWidth="1"/>
    <col min="1548" max="1548" width="11" style="53" customWidth="1"/>
    <col min="1549" max="1792" width="9.140625" style="53"/>
    <col min="1793" max="1793" width="4.7109375" style="53" customWidth="1"/>
    <col min="1794" max="1794" width="45.5703125" style="53" customWidth="1"/>
    <col min="1795" max="1795" width="15.85546875" style="53" customWidth="1"/>
    <col min="1796" max="1796" width="19.140625" style="53" customWidth="1"/>
    <col min="1797" max="1797" width="12.7109375" style="53" customWidth="1"/>
    <col min="1798" max="1798" width="12" style="53" customWidth="1"/>
    <col min="1799" max="1802" width="13.140625" style="53" customWidth="1"/>
    <col min="1803" max="1803" width="20" style="53" customWidth="1"/>
    <col min="1804" max="1804" width="11" style="53" customWidth="1"/>
    <col min="1805" max="2048" width="9.140625" style="53"/>
    <col min="2049" max="2049" width="4.7109375" style="53" customWidth="1"/>
    <col min="2050" max="2050" width="45.5703125" style="53" customWidth="1"/>
    <col min="2051" max="2051" width="15.85546875" style="53" customWidth="1"/>
    <col min="2052" max="2052" width="19.140625" style="53" customWidth="1"/>
    <col min="2053" max="2053" width="12.7109375" style="53" customWidth="1"/>
    <col min="2054" max="2054" width="12" style="53" customWidth="1"/>
    <col min="2055" max="2058" width="13.140625" style="53" customWidth="1"/>
    <col min="2059" max="2059" width="20" style="53" customWidth="1"/>
    <col min="2060" max="2060" width="11" style="53" customWidth="1"/>
    <col min="2061" max="2304" width="9.140625" style="53"/>
    <col min="2305" max="2305" width="4.7109375" style="53" customWidth="1"/>
    <col min="2306" max="2306" width="45.5703125" style="53" customWidth="1"/>
    <col min="2307" max="2307" width="15.85546875" style="53" customWidth="1"/>
    <col min="2308" max="2308" width="19.140625" style="53" customWidth="1"/>
    <col min="2309" max="2309" width="12.7109375" style="53" customWidth="1"/>
    <col min="2310" max="2310" width="12" style="53" customWidth="1"/>
    <col min="2311" max="2314" width="13.140625" style="53" customWidth="1"/>
    <col min="2315" max="2315" width="20" style="53" customWidth="1"/>
    <col min="2316" max="2316" width="11" style="53" customWidth="1"/>
    <col min="2317" max="2560" width="9.140625" style="53"/>
    <col min="2561" max="2561" width="4.7109375" style="53" customWidth="1"/>
    <col min="2562" max="2562" width="45.5703125" style="53" customWidth="1"/>
    <col min="2563" max="2563" width="15.85546875" style="53" customWidth="1"/>
    <col min="2564" max="2564" width="19.140625" style="53" customWidth="1"/>
    <col min="2565" max="2565" width="12.7109375" style="53" customWidth="1"/>
    <col min="2566" max="2566" width="12" style="53" customWidth="1"/>
    <col min="2567" max="2570" width="13.140625" style="53" customWidth="1"/>
    <col min="2571" max="2571" width="20" style="53" customWidth="1"/>
    <col min="2572" max="2572" width="11" style="53" customWidth="1"/>
    <col min="2573" max="2816" width="9.140625" style="53"/>
    <col min="2817" max="2817" width="4.7109375" style="53" customWidth="1"/>
    <col min="2818" max="2818" width="45.5703125" style="53" customWidth="1"/>
    <col min="2819" max="2819" width="15.85546875" style="53" customWidth="1"/>
    <col min="2820" max="2820" width="19.140625" style="53" customWidth="1"/>
    <col min="2821" max="2821" width="12.7109375" style="53" customWidth="1"/>
    <col min="2822" max="2822" width="12" style="53" customWidth="1"/>
    <col min="2823" max="2826" width="13.140625" style="53" customWidth="1"/>
    <col min="2827" max="2827" width="20" style="53" customWidth="1"/>
    <col min="2828" max="2828" width="11" style="53" customWidth="1"/>
    <col min="2829" max="3072" width="9.140625" style="53"/>
    <col min="3073" max="3073" width="4.7109375" style="53" customWidth="1"/>
    <col min="3074" max="3074" width="45.5703125" style="53" customWidth="1"/>
    <col min="3075" max="3075" width="15.85546875" style="53" customWidth="1"/>
    <col min="3076" max="3076" width="19.140625" style="53" customWidth="1"/>
    <col min="3077" max="3077" width="12.7109375" style="53" customWidth="1"/>
    <col min="3078" max="3078" width="12" style="53" customWidth="1"/>
    <col min="3079" max="3082" width="13.140625" style="53" customWidth="1"/>
    <col min="3083" max="3083" width="20" style="53" customWidth="1"/>
    <col min="3084" max="3084" width="11" style="53" customWidth="1"/>
    <col min="3085" max="3328" width="9.140625" style="53"/>
    <col min="3329" max="3329" width="4.7109375" style="53" customWidth="1"/>
    <col min="3330" max="3330" width="45.5703125" style="53" customWidth="1"/>
    <col min="3331" max="3331" width="15.85546875" style="53" customWidth="1"/>
    <col min="3332" max="3332" width="19.140625" style="53" customWidth="1"/>
    <col min="3333" max="3333" width="12.7109375" style="53" customWidth="1"/>
    <col min="3334" max="3334" width="12" style="53" customWidth="1"/>
    <col min="3335" max="3338" width="13.140625" style="53" customWidth="1"/>
    <col min="3339" max="3339" width="20" style="53" customWidth="1"/>
    <col min="3340" max="3340" width="11" style="53" customWidth="1"/>
    <col min="3341" max="3584" width="9.140625" style="53"/>
    <col min="3585" max="3585" width="4.7109375" style="53" customWidth="1"/>
    <col min="3586" max="3586" width="45.5703125" style="53" customWidth="1"/>
    <col min="3587" max="3587" width="15.85546875" style="53" customWidth="1"/>
    <col min="3588" max="3588" width="19.140625" style="53" customWidth="1"/>
    <col min="3589" max="3589" width="12.7109375" style="53" customWidth="1"/>
    <col min="3590" max="3590" width="12" style="53" customWidth="1"/>
    <col min="3591" max="3594" width="13.140625" style="53" customWidth="1"/>
    <col min="3595" max="3595" width="20" style="53" customWidth="1"/>
    <col min="3596" max="3596" width="11" style="53" customWidth="1"/>
    <col min="3597" max="3840" width="9.140625" style="53"/>
    <col min="3841" max="3841" width="4.7109375" style="53" customWidth="1"/>
    <col min="3842" max="3842" width="45.5703125" style="53" customWidth="1"/>
    <col min="3843" max="3843" width="15.85546875" style="53" customWidth="1"/>
    <col min="3844" max="3844" width="19.140625" style="53" customWidth="1"/>
    <col min="3845" max="3845" width="12.7109375" style="53" customWidth="1"/>
    <col min="3846" max="3846" width="12" style="53" customWidth="1"/>
    <col min="3847" max="3850" width="13.140625" style="53" customWidth="1"/>
    <col min="3851" max="3851" width="20" style="53" customWidth="1"/>
    <col min="3852" max="3852" width="11" style="53" customWidth="1"/>
    <col min="3853" max="4096" width="9.140625" style="53"/>
    <col min="4097" max="4097" width="4.7109375" style="53" customWidth="1"/>
    <col min="4098" max="4098" width="45.5703125" style="53" customWidth="1"/>
    <col min="4099" max="4099" width="15.85546875" style="53" customWidth="1"/>
    <col min="4100" max="4100" width="19.140625" style="53" customWidth="1"/>
    <col min="4101" max="4101" width="12.7109375" style="53" customWidth="1"/>
    <col min="4102" max="4102" width="12" style="53" customWidth="1"/>
    <col min="4103" max="4106" width="13.140625" style="53" customWidth="1"/>
    <col min="4107" max="4107" width="20" style="53" customWidth="1"/>
    <col min="4108" max="4108" width="11" style="53" customWidth="1"/>
    <col min="4109" max="4352" width="9.140625" style="53"/>
    <col min="4353" max="4353" width="4.7109375" style="53" customWidth="1"/>
    <col min="4354" max="4354" width="45.5703125" style="53" customWidth="1"/>
    <col min="4355" max="4355" width="15.85546875" style="53" customWidth="1"/>
    <col min="4356" max="4356" width="19.140625" style="53" customWidth="1"/>
    <col min="4357" max="4357" width="12.7109375" style="53" customWidth="1"/>
    <col min="4358" max="4358" width="12" style="53" customWidth="1"/>
    <col min="4359" max="4362" width="13.140625" style="53" customWidth="1"/>
    <col min="4363" max="4363" width="20" style="53" customWidth="1"/>
    <col min="4364" max="4364" width="11" style="53" customWidth="1"/>
    <col min="4365" max="4608" width="9.140625" style="53"/>
    <col min="4609" max="4609" width="4.7109375" style="53" customWidth="1"/>
    <col min="4610" max="4610" width="45.5703125" style="53" customWidth="1"/>
    <col min="4611" max="4611" width="15.85546875" style="53" customWidth="1"/>
    <col min="4612" max="4612" width="19.140625" style="53" customWidth="1"/>
    <col min="4613" max="4613" width="12.7109375" style="53" customWidth="1"/>
    <col min="4614" max="4614" width="12" style="53" customWidth="1"/>
    <col min="4615" max="4618" width="13.140625" style="53" customWidth="1"/>
    <col min="4619" max="4619" width="20" style="53" customWidth="1"/>
    <col min="4620" max="4620" width="11" style="53" customWidth="1"/>
    <col min="4621" max="4864" width="9.140625" style="53"/>
    <col min="4865" max="4865" width="4.7109375" style="53" customWidth="1"/>
    <col min="4866" max="4866" width="45.5703125" style="53" customWidth="1"/>
    <col min="4867" max="4867" width="15.85546875" style="53" customWidth="1"/>
    <col min="4868" max="4868" width="19.140625" style="53" customWidth="1"/>
    <col min="4869" max="4869" width="12.7109375" style="53" customWidth="1"/>
    <col min="4870" max="4870" width="12" style="53" customWidth="1"/>
    <col min="4871" max="4874" width="13.140625" style="53" customWidth="1"/>
    <col min="4875" max="4875" width="20" style="53" customWidth="1"/>
    <col min="4876" max="4876" width="11" style="53" customWidth="1"/>
    <col min="4877" max="5120" width="9.140625" style="53"/>
    <col min="5121" max="5121" width="4.7109375" style="53" customWidth="1"/>
    <col min="5122" max="5122" width="45.5703125" style="53" customWidth="1"/>
    <col min="5123" max="5123" width="15.85546875" style="53" customWidth="1"/>
    <col min="5124" max="5124" width="19.140625" style="53" customWidth="1"/>
    <col min="5125" max="5125" width="12.7109375" style="53" customWidth="1"/>
    <col min="5126" max="5126" width="12" style="53" customWidth="1"/>
    <col min="5127" max="5130" width="13.140625" style="53" customWidth="1"/>
    <col min="5131" max="5131" width="20" style="53" customWidth="1"/>
    <col min="5132" max="5132" width="11" style="53" customWidth="1"/>
    <col min="5133" max="5376" width="9.140625" style="53"/>
    <col min="5377" max="5377" width="4.7109375" style="53" customWidth="1"/>
    <col min="5378" max="5378" width="45.5703125" style="53" customWidth="1"/>
    <col min="5379" max="5379" width="15.85546875" style="53" customWidth="1"/>
    <col min="5380" max="5380" width="19.140625" style="53" customWidth="1"/>
    <col min="5381" max="5381" width="12.7109375" style="53" customWidth="1"/>
    <col min="5382" max="5382" width="12" style="53" customWidth="1"/>
    <col min="5383" max="5386" width="13.140625" style="53" customWidth="1"/>
    <col min="5387" max="5387" width="20" style="53" customWidth="1"/>
    <col min="5388" max="5388" width="11" style="53" customWidth="1"/>
    <col min="5389" max="5632" width="9.140625" style="53"/>
    <col min="5633" max="5633" width="4.7109375" style="53" customWidth="1"/>
    <col min="5634" max="5634" width="45.5703125" style="53" customWidth="1"/>
    <col min="5635" max="5635" width="15.85546875" style="53" customWidth="1"/>
    <col min="5636" max="5636" width="19.140625" style="53" customWidth="1"/>
    <col min="5637" max="5637" width="12.7109375" style="53" customWidth="1"/>
    <col min="5638" max="5638" width="12" style="53" customWidth="1"/>
    <col min="5639" max="5642" width="13.140625" style="53" customWidth="1"/>
    <col min="5643" max="5643" width="20" style="53" customWidth="1"/>
    <col min="5644" max="5644" width="11" style="53" customWidth="1"/>
    <col min="5645" max="5888" width="9.140625" style="53"/>
    <col min="5889" max="5889" width="4.7109375" style="53" customWidth="1"/>
    <col min="5890" max="5890" width="45.5703125" style="53" customWidth="1"/>
    <col min="5891" max="5891" width="15.85546875" style="53" customWidth="1"/>
    <col min="5892" max="5892" width="19.140625" style="53" customWidth="1"/>
    <col min="5893" max="5893" width="12.7109375" style="53" customWidth="1"/>
    <col min="5894" max="5894" width="12" style="53" customWidth="1"/>
    <col min="5895" max="5898" width="13.140625" style="53" customWidth="1"/>
    <col min="5899" max="5899" width="20" style="53" customWidth="1"/>
    <col min="5900" max="5900" width="11" style="53" customWidth="1"/>
    <col min="5901" max="6144" width="9.140625" style="53"/>
    <col min="6145" max="6145" width="4.7109375" style="53" customWidth="1"/>
    <col min="6146" max="6146" width="45.5703125" style="53" customWidth="1"/>
    <col min="6147" max="6147" width="15.85546875" style="53" customWidth="1"/>
    <col min="6148" max="6148" width="19.140625" style="53" customWidth="1"/>
    <col min="6149" max="6149" width="12.7109375" style="53" customWidth="1"/>
    <col min="6150" max="6150" width="12" style="53" customWidth="1"/>
    <col min="6151" max="6154" width="13.140625" style="53" customWidth="1"/>
    <col min="6155" max="6155" width="20" style="53" customWidth="1"/>
    <col min="6156" max="6156" width="11" style="53" customWidth="1"/>
    <col min="6157" max="6400" width="9.140625" style="53"/>
    <col min="6401" max="6401" width="4.7109375" style="53" customWidth="1"/>
    <col min="6402" max="6402" width="45.5703125" style="53" customWidth="1"/>
    <col min="6403" max="6403" width="15.85546875" style="53" customWidth="1"/>
    <col min="6404" max="6404" width="19.140625" style="53" customWidth="1"/>
    <col min="6405" max="6405" width="12.7109375" style="53" customWidth="1"/>
    <col min="6406" max="6406" width="12" style="53" customWidth="1"/>
    <col min="6407" max="6410" width="13.140625" style="53" customWidth="1"/>
    <col min="6411" max="6411" width="20" style="53" customWidth="1"/>
    <col min="6412" max="6412" width="11" style="53" customWidth="1"/>
    <col min="6413" max="6656" width="9.140625" style="53"/>
    <col min="6657" max="6657" width="4.7109375" style="53" customWidth="1"/>
    <col min="6658" max="6658" width="45.5703125" style="53" customWidth="1"/>
    <col min="6659" max="6659" width="15.85546875" style="53" customWidth="1"/>
    <col min="6660" max="6660" width="19.140625" style="53" customWidth="1"/>
    <col min="6661" max="6661" width="12.7109375" style="53" customWidth="1"/>
    <col min="6662" max="6662" width="12" style="53" customWidth="1"/>
    <col min="6663" max="6666" width="13.140625" style="53" customWidth="1"/>
    <col min="6667" max="6667" width="20" style="53" customWidth="1"/>
    <col min="6668" max="6668" width="11" style="53" customWidth="1"/>
    <col min="6669" max="6912" width="9.140625" style="53"/>
    <col min="6913" max="6913" width="4.7109375" style="53" customWidth="1"/>
    <col min="6914" max="6914" width="45.5703125" style="53" customWidth="1"/>
    <col min="6915" max="6915" width="15.85546875" style="53" customWidth="1"/>
    <col min="6916" max="6916" width="19.140625" style="53" customWidth="1"/>
    <col min="6917" max="6917" width="12.7109375" style="53" customWidth="1"/>
    <col min="6918" max="6918" width="12" style="53" customWidth="1"/>
    <col min="6919" max="6922" width="13.140625" style="53" customWidth="1"/>
    <col min="6923" max="6923" width="20" style="53" customWidth="1"/>
    <col min="6924" max="6924" width="11" style="53" customWidth="1"/>
    <col min="6925" max="7168" width="9.140625" style="53"/>
    <col min="7169" max="7169" width="4.7109375" style="53" customWidth="1"/>
    <col min="7170" max="7170" width="45.5703125" style="53" customWidth="1"/>
    <col min="7171" max="7171" width="15.85546875" style="53" customWidth="1"/>
    <col min="7172" max="7172" width="19.140625" style="53" customWidth="1"/>
    <col min="7173" max="7173" width="12.7109375" style="53" customWidth="1"/>
    <col min="7174" max="7174" width="12" style="53" customWidth="1"/>
    <col min="7175" max="7178" width="13.140625" style="53" customWidth="1"/>
    <col min="7179" max="7179" width="20" style="53" customWidth="1"/>
    <col min="7180" max="7180" width="11" style="53" customWidth="1"/>
    <col min="7181" max="7424" width="9.140625" style="53"/>
    <col min="7425" max="7425" width="4.7109375" style="53" customWidth="1"/>
    <col min="7426" max="7426" width="45.5703125" style="53" customWidth="1"/>
    <col min="7427" max="7427" width="15.85546875" style="53" customWidth="1"/>
    <col min="7428" max="7428" width="19.140625" style="53" customWidth="1"/>
    <col min="7429" max="7429" width="12.7109375" style="53" customWidth="1"/>
    <col min="7430" max="7430" width="12" style="53" customWidth="1"/>
    <col min="7431" max="7434" width="13.140625" style="53" customWidth="1"/>
    <col min="7435" max="7435" width="20" style="53" customWidth="1"/>
    <col min="7436" max="7436" width="11" style="53" customWidth="1"/>
    <col min="7437" max="7680" width="9.140625" style="53"/>
    <col min="7681" max="7681" width="4.7109375" style="53" customWidth="1"/>
    <col min="7682" max="7682" width="45.5703125" style="53" customWidth="1"/>
    <col min="7683" max="7683" width="15.85546875" style="53" customWidth="1"/>
    <col min="7684" max="7684" width="19.140625" style="53" customWidth="1"/>
    <col min="7685" max="7685" width="12.7109375" style="53" customWidth="1"/>
    <col min="7686" max="7686" width="12" style="53" customWidth="1"/>
    <col min="7687" max="7690" width="13.140625" style="53" customWidth="1"/>
    <col min="7691" max="7691" width="20" style="53" customWidth="1"/>
    <col min="7692" max="7692" width="11" style="53" customWidth="1"/>
    <col min="7693" max="7936" width="9.140625" style="53"/>
    <col min="7937" max="7937" width="4.7109375" style="53" customWidth="1"/>
    <col min="7938" max="7938" width="45.5703125" style="53" customWidth="1"/>
    <col min="7939" max="7939" width="15.85546875" style="53" customWidth="1"/>
    <col min="7940" max="7940" width="19.140625" style="53" customWidth="1"/>
    <col min="7941" max="7941" width="12.7109375" style="53" customWidth="1"/>
    <col min="7942" max="7942" width="12" style="53" customWidth="1"/>
    <col min="7943" max="7946" width="13.140625" style="53" customWidth="1"/>
    <col min="7947" max="7947" width="20" style="53" customWidth="1"/>
    <col min="7948" max="7948" width="11" style="53" customWidth="1"/>
    <col min="7949" max="8192" width="9.140625" style="53"/>
    <col min="8193" max="8193" width="4.7109375" style="53" customWidth="1"/>
    <col min="8194" max="8194" width="45.5703125" style="53" customWidth="1"/>
    <col min="8195" max="8195" width="15.85546875" style="53" customWidth="1"/>
    <col min="8196" max="8196" width="19.140625" style="53" customWidth="1"/>
    <col min="8197" max="8197" width="12.7109375" style="53" customWidth="1"/>
    <col min="8198" max="8198" width="12" style="53" customWidth="1"/>
    <col min="8199" max="8202" width="13.140625" style="53" customWidth="1"/>
    <col min="8203" max="8203" width="20" style="53" customWidth="1"/>
    <col min="8204" max="8204" width="11" style="53" customWidth="1"/>
    <col min="8205" max="8448" width="9.140625" style="53"/>
    <col min="8449" max="8449" width="4.7109375" style="53" customWidth="1"/>
    <col min="8450" max="8450" width="45.5703125" style="53" customWidth="1"/>
    <col min="8451" max="8451" width="15.85546875" style="53" customWidth="1"/>
    <col min="8452" max="8452" width="19.140625" style="53" customWidth="1"/>
    <col min="8453" max="8453" width="12.7109375" style="53" customWidth="1"/>
    <col min="8454" max="8454" width="12" style="53" customWidth="1"/>
    <col min="8455" max="8458" width="13.140625" style="53" customWidth="1"/>
    <col min="8459" max="8459" width="20" style="53" customWidth="1"/>
    <col min="8460" max="8460" width="11" style="53" customWidth="1"/>
    <col min="8461" max="8704" width="9.140625" style="53"/>
    <col min="8705" max="8705" width="4.7109375" style="53" customWidth="1"/>
    <col min="8706" max="8706" width="45.5703125" style="53" customWidth="1"/>
    <col min="8707" max="8707" width="15.85546875" style="53" customWidth="1"/>
    <col min="8708" max="8708" width="19.140625" style="53" customWidth="1"/>
    <col min="8709" max="8709" width="12.7109375" style="53" customWidth="1"/>
    <col min="8710" max="8710" width="12" style="53" customWidth="1"/>
    <col min="8711" max="8714" width="13.140625" style="53" customWidth="1"/>
    <col min="8715" max="8715" width="20" style="53" customWidth="1"/>
    <col min="8716" max="8716" width="11" style="53" customWidth="1"/>
    <col min="8717" max="8960" width="9.140625" style="53"/>
    <col min="8961" max="8961" width="4.7109375" style="53" customWidth="1"/>
    <col min="8962" max="8962" width="45.5703125" style="53" customWidth="1"/>
    <col min="8963" max="8963" width="15.85546875" style="53" customWidth="1"/>
    <col min="8964" max="8964" width="19.140625" style="53" customWidth="1"/>
    <col min="8965" max="8965" width="12.7109375" style="53" customWidth="1"/>
    <col min="8966" max="8966" width="12" style="53" customWidth="1"/>
    <col min="8967" max="8970" width="13.140625" style="53" customWidth="1"/>
    <col min="8971" max="8971" width="20" style="53" customWidth="1"/>
    <col min="8972" max="8972" width="11" style="53" customWidth="1"/>
    <col min="8973" max="9216" width="9.140625" style="53"/>
    <col min="9217" max="9217" width="4.7109375" style="53" customWidth="1"/>
    <col min="9218" max="9218" width="45.5703125" style="53" customWidth="1"/>
    <col min="9219" max="9219" width="15.85546875" style="53" customWidth="1"/>
    <col min="9220" max="9220" width="19.140625" style="53" customWidth="1"/>
    <col min="9221" max="9221" width="12.7109375" style="53" customWidth="1"/>
    <col min="9222" max="9222" width="12" style="53" customWidth="1"/>
    <col min="9223" max="9226" width="13.140625" style="53" customWidth="1"/>
    <col min="9227" max="9227" width="20" style="53" customWidth="1"/>
    <col min="9228" max="9228" width="11" style="53" customWidth="1"/>
    <col min="9229" max="9472" width="9.140625" style="53"/>
    <col min="9473" max="9473" width="4.7109375" style="53" customWidth="1"/>
    <col min="9474" max="9474" width="45.5703125" style="53" customWidth="1"/>
    <col min="9475" max="9475" width="15.85546875" style="53" customWidth="1"/>
    <col min="9476" max="9476" width="19.140625" style="53" customWidth="1"/>
    <col min="9477" max="9477" width="12.7109375" style="53" customWidth="1"/>
    <col min="9478" max="9478" width="12" style="53" customWidth="1"/>
    <col min="9479" max="9482" width="13.140625" style="53" customWidth="1"/>
    <col min="9483" max="9483" width="20" style="53" customWidth="1"/>
    <col min="9484" max="9484" width="11" style="53" customWidth="1"/>
    <col min="9485" max="9728" width="9.140625" style="53"/>
    <col min="9729" max="9729" width="4.7109375" style="53" customWidth="1"/>
    <col min="9730" max="9730" width="45.5703125" style="53" customWidth="1"/>
    <col min="9731" max="9731" width="15.85546875" style="53" customWidth="1"/>
    <col min="9732" max="9732" width="19.140625" style="53" customWidth="1"/>
    <col min="9733" max="9733" width="12.7109375" style="53" customWidth="1"/>
    <col min="9734" max="9734" width="12" style="53" customWidth="1"/>
    <col min="9735" max="9738" width="13.140625" style="53" customWidth="1"/>
    <col min="9739" max="9739" width="20" style="53" customWidth="1"/>
    <col min="9740" max="9740" width="11" style="53" customWidth="1"/>
    <col min="9741" max="9984" width="9.140625" style="53"/>
    <col min="9985" max="9985" width="4.7109375" style="53" customWidth="1"/>
    <col min="9986" max="9986" width="45.5703125" style="53" customWidth="1"/>
    <col min="9987" max="9987" width="15.85546875" style="53" customWidth="1"/>
    <col min="9988" max="9988" width="19.140625" style="53" customWidth="1"/>
    <col min="9989" max="9989" width="12.7109375" style="53" customWidth="1"/>
    <col min="9990" max="9990" width="12" style="53" customWidth="1"/>
    <col min="9991" max="9994" width="13.140625" style="53" customWidth="1"/>
    <col min="9995" max="9995" width="20" style="53" customWidth="1"/>
    <col min="9996" max="9996" width="11" style="53" customWidth="1"/>
    <col min="9997" max="10240" width="9.140625" style="53"/>
    <col min="10241" max="10241" width="4.7109375" style="53" customWidth="1"/>
    <col min="10242" max="10242" width="45.5703125" style="53" customWidth="1"/>
    <col min="10243" max="10243" width="15.85546875" style="53" customWidth="1"/>
    <col min="10244" max="10244" width="19.140625" style="53" customWidth="1"/>
    <col min="10245" max="10245" width="12.7109375" style="53" customWidth="1"/>
    <col min="10246" max="10246" width="12" style="53" customWidth="1"/>
    <col min="10247" max="10250" width="13.140625" style="53" customWidth="1"/>
    <col min="10251" max="10251" width="20" style="53" customWidth="1"/>
    <col min="10252" max="10252" width="11" style="53" customWidth="1"/>
    <col min="10253" max="10496" width="9.140625" style="53"/>
    <col min="10497" max="10497" width="4.7109375" style="53" customWidth="1"/>
    <col min="10498" max="10498" width="45.5703125" style="53" customWidth="1"/>
    <col min="10499" max="10499" width="15.85546875" style="53" customWidth="1"/>
    <col min="10500" max="10500" width="19.140625" style="53" customWidth="1"/>
    <col min="10501" max="10501" width="12.7109375" style="53" customWidth="1"/>
    <col min="10502" max="10502" width="12" style="53" customWidth="1"/>
    <col min="10503" max="10506" width="13.140625" style="53" customWidth="1"/>
    <col min="10507" max="10507" width="20" style="53" customWidth="1"/>
    <col min="10508" max="10508" width="11" style="53" customWidth="1"/>
    <col min="10509" max="10752" width="9.140625" style="53"/>
    <col min="10753" max="10753" width="4.7109375" style="53" customWidth="1"/>
    <col min="10754" max="10754" width="45.5703125" style="53" customWidth="1"/>
    <col min="10755" max="10755" width="15.85546875" style="53" customWidth="1"/>
    <col min="10756" max="10756" width="19.140625" style="53" customWidth="1"/>
    <col min="10757" max="10757" width="12.7109375" style="53" customWidth="1"/>
    <col min="10758" max="10758" width="12" style="53" customWidth="1"/>
    <col min="10759" max="10762" width="13.140625" style="53" customWidth="1"/>
    <col min="10763" max="10763" width="20" style="53" customWidth="1"/>
    <col min="10764" max="10764" width="11" style="53" customWidth="1"/>
    <col min="10765" max="11008" width="9.140625" style="53"/>
    <col min="11009" max="11009" width="4.7109375" style="53" customWidth="1"/>
    <col min="11010" max="11010" width="45.5703125" style="53" customWidth="1"/>
    <col min="11011" max="11011" width="15.85546875" style="53" customWidth="1"/>
    <col min="11012" max="11012" width="19.140625" style="53" customWidth="1"/>
    <col min="11013" max="11013" width="12.7109375" style="53" customWidth="1"/>
    <col min="11014" max="11014" width="12" style="53" customWidth="1"/>
    <col min="11015" max="11018" width="13.140625" style="53" customWidth="1"/>
    <col min="11019" max="11019" width="20" style="53" customWidth="1"/>
    <col min="11020" max="11020" width="11" style="53" customWidth="1"/>
    <col min="11021" max="11264" width="9.140625" style="53"/>
    <col min="11265" max="11265" width="4.7109375" style="53" customWidth="1"/>
    <col min="11266" max="11266" width="45.5703125" style="53" customWidth="1"/>
    <col min="11267" max="11267" width="15.85546875" style="53" customWidth="1"/>
    <col min="11268" max="11268" width="19.140625" style="53" customWidth="1"/>
    <col min="11269" max="11269" width="12.7109375" style="53" customWidth="1"/>
    <col min="11270" max="11270" width="12" style="53" customWidth="1"/>
    <col min="11271" max="11274" width="13.140625" style="53" customWidth="1"/>
    <col min="11275" max="11275" width="20" style="53" customWidth="1"/>
    <col min="11276" max="11276" width="11" style="53" customWidth="1"/>
    <col min="11277" max="11520" width="9.140625" style="53"/>
    <col min="11521" max="11521" width="4.7109375" style="53" customWidth="1"/>
    <col min="11522" max="11522" width="45.5703125" style="53" customWidth="1"/>
    <col min="11523" max="11523" width="15.85546875" style="53" customWidth="1"/>
    <col min="11524" max="11524" width="19.140625" style="53" customWidth="1"/>
    <col min="11525" max="11525" width="12.7109375" style="53" customWidth="1"/>
    <col min="11526" max="11526" width="12" style="53" customWidth="1"/>
    <col min="11527" max="11530" width="13.140625" style="53" customWidth="1"/>
    <col min="11531" max="11531" width="20" style="53" customWidth="1"/>
    <col min="11532" max="11532" width="11" style="53" customWidth="1"/>
    <col min="11533" max="11776" width="9.140625" style="53"/>
    <col min="11777" max="11777" width="4.7109375" style="53" customWidth="1"/>
    <col min="11778" max="11778" width="45.5703125" style="53" customWidth="1"/>
    <col min="11779" max="11779" width="15.85546875" style="53" customWidth="1"/>
    <col min="11780" max="11780" width="19.140625" style="53" customWidth="1"/>
    <col min="11781" max="11781" width="12.7109375" style="53" customWidth="1"/>
    <col min="11782" max="11782" width="12" style="53" customWidth="1"/>
    <col min="11783" max="11786" width="13.140625" style="53" customWidth="1"/>
    <col min="11787" max="11787" width="20" style="53" customWidth="1"/>
    <col min="11788" max="11788" width="11" style="53" customWidth="1"/>
    <col min="11789" max="12032" width="9.140625" style="53"/>
    <col min="12033" max="12033" width="4.7109375" style="53" customWidth="1"/>
    <col min="12034" max="12034" width="45.5703125" style="53" customWidth="1"/>
    <col min="12035" max="12035" width="15.85546875" style="53" customWidth="1"/>
    <col min="12036" max="12036" width="19.140625" style="53" customWidth="1"/>
    <col min="12037" max="12037" width="12.7109375" style="53" customWidth="1"/>
    <col min="12038" max="12038" width="12" style="53" customWidth="1"/>
    <col min="12039" max="12042" width="13.140625" style="53" customWidth="1"/>
    <col min="12043" max="12043" width="20" style="53" customWidth="1"/>
    <col min="12044" max="12044" width="11" style="53" customWidth="1"/>
    <col min="12045" max="12288" width="9.140625" style="53"/>
    <col min="12289" max="12289" width="4.7109375" style="53" customWidth="1"/>
    <col min="12290" max="12290" width="45.5703125" style="53" customWidth="1"/>
    <col min="12291" max="12291" width="15.85546875" style="53" customWidth="1"/>
    <col min="12292" max="12292" width="19.140625" style="53" customWidth="1"/>
    <col min="12293" max="12293" width="12.7109375" style="53" customWidth="1"/>
    <col min="12294" max="12294" width="12" style="53" customWidth="1"/>
    <col min="12295" max="12298" width="13.140625" style="53" customWidth="1"/>
    <col min="12299" max="12299" width="20" style="53" customWidth="1"/>
    <col min="12300" max="12300" width="11" style="53" customWidth="1"/>
    <col min="12301" max="12544" width="9.140625" style="53"/>
    <col min="12545" max="12545" width="4.7109375" style="53" customWidth="1"/>
    <col min="12546" max="12546" width="45.5703125" style="53" customWidth="1"/>
    <col min="12547" max="12547" width="15.85546875" style="53" customWidth="1"/>
    <col min="12548" max="12548" width="19.140625" style="53" customWidth="1"/>
    <col min="12549" max="12549" width="12.7109375" style="53" customWidth="1"/>
    <col min="12550" max="12550" width="12" style="53" customWidth="1"/>
    <col min="12551" max="12554" width="13.140625" style="53" customWidth="1"/>
    <col min="12555" max="12555" width="20" style="53" customWidth="1"/>
    <col min="12556" max="12556" width="11" style="53" customWidth="1"/>
    <col min="12557" max="12800" width="9.140625" style="53"/>
    <col min="12801" max="12801" width="4.7109375" style="53" customWidth="1"/>
    <col min="12802" max="12802" width="45.5703125" style="53" customWidth="1"/>
    <col min="12803" max="12803" width="15.85546875" style="53" customWidth="1"/>
    <col min="12804" max="12804" width="19.140625" style="53" customWidth="1"/>
    <col min="12805" max="12805" width="12.7109375" style="53" customWidth="1"/>
    <col min="12806" max="12806" width="12" style="53" customWidth="1"/>
    <col min="12807" max="12810" width="13.140625" style="53" customWidth="1"/>
    <col min="12811" max="12811" width="20" style="53" customWidth="1"/>
    <col min="12812" max="12812" width="11" style="53" customWidth="1"/>
    <col min="12813" max="13056" width="9.140625" style="53"/>
    <col min="13057" max="13057" width="4.7109375" style="53" customWidth="1"/>
    <col min="13058" max="13058" width="45.5703125" style="53" customWidth="1"/>
    <col min="13059" max="13059" width="15.85546875" style="53" customWidth="1"/>
    <col min="13060" max="13060" width="19.140625" style="53" customWidth="1"/>
    <col min="13061" max="13061" width="12.7109375" style="53" customWidth="1"/>
    <col min="13062" max="13062" width="12" style="53" customWidth="1"/>
    <col min="13063" max="13066" width="13.140625" style="53" customWidth="1"/>
    <col min="13067" max="13067" width="20" style="53" customWidth="1"/>
    <col min="13068" max="13068" width="11" style="53" customWidth="1"/>
    <col min="13069" max="13312" width="9.140625" style="53"/>
    <col min="13313" max="13313" width="4.7109375" style="53" customWidth="1"/>
    <col min="13314" max="13314" width="45.5703125" style="53" customWidth="1"/>
    <col min="13315" max="13315" width="15.85546875" style="53" customWidth="1"/>
    <col min="13316" max="13316" width="19.140625" style="53" customWidth="1"/>
    <col min="13317" max="13317" width="12.7109375" style="53" customWidth="1"/>
    <col min="13318" max="13318" width="12" style="53" customWidth="1"/>
    <col min="13319" max="13322" width="13.140625" style="53" customWidth="1"/>
    <col min="13323" max="13323" width="20" style="53" customWidth="1"/>
    <col min="13324" max="13324" width="11" style="53" customWidth="1"/>
    <col min="13325" max="13568" width="9.140625" style="53"/>
    <col min="13569" max="13569" width="4.7109375" style="53" customWidth="1"/>
    <col min="13570" max="13570" width="45.5703125" style="53" customWidth="1"/>
    <col min="13571" max="13571" width="15.85546875" style="53" customWidth="1"/>
    <col min="13572" max="13572" width="19.140625" style="53" customWidth="1"/>
    <col min="13573" max="13573" width="12.7109375" style="53" customWidth="1"/>
    <col min="13574" max="13574" width="12" style="53" customWidth="1"/>
    <col min="13575" max="13578" width="13.140625" style="53" customWidth="1"/>
    <col min="13579" max="13579" width="20" style="53" customWidth="1"/>
    <col min="13580" max="13580" width="11" style="53" customWidth="1"/>
    <col min="13581" max="13824" width="9.140625" style="53"/>
    <col min="13825" max="13825" width="4.7109375" style="53" customWidth="1"/>
    <col min="13826" max="13826" width="45.5703125" style="53" customWidth="1"/>
    <col min="13827" max="13827" width="15.85546875" style="53" customWidth="1"/>
    <col min="13828" max="13828" width="19.140625" style="53" customWidth="1"/>
    <col min="13829" max="13829" width="12.7109375" style="53" customWidth="1"/>
    <col min="13830" max="13830" width="12" style="53" customWidth="1"/>
    <col min="13831" max="13834" width="13.140625" style="53" customWidth="1"/>
    <col min="13835" max="13835" width="20" style="53" customWidth="1"/>
    <col min="13836" max="13836" width="11" style="53" customWidth="1"/>
    <col min="13837" max="14080" width="9.140625" style="53"/>
    <col min="14081" max="14081" width="4.7109375" style="53" customWidth="1"/>
    <col min="14082" max="14082" width="45.5703125" style="53" customWidth="1"/>
    <col min="14083" max="14083" width="15.85546875" style="53" customWidth="1"/>
    <col min="14084" max="14084" width="19.140625" style="53" customWidth="1"/>
    <col min="14085" max="14085" width="12.7109375" style="53" customWidth="1"/>
    <col min="14086" max="14086" width="12" style="53" customWidth="1"/>
    <col min="14087" max="14090" width="13.140625" style="53" customWidth="1"/>
    <col min="14091" max="14091" width="20" style="53" customWidth="1"/>
    <col min="14092" max="14092" width="11" style="53" customWidth="1"/>
    <col min="14093" max="14336" width="9.140625" style="53"/>
    <col min="14337" max="14337" width="4.7109375" style="53" customWidth="1"/>
    <col min="14338" max="14338" width="45.5703125" style="53" customWidth="1"/>
    <col min="14339" max="14339" width="15.85546875" style="53" customWidth="1"/>
    <col min="14340" max="14340" width="19.140625" style="53" customWidth="1"/>
    <col min="14341" max="14341" width="12.7109375" style="53" customWidth="1"/>
    <col min="14342" max="14342" width="12" style="53" customWidth="1"/>
    <col min="14343" max="14346" width="13.140625" style="53" customWidth="1"/>
    <col min="14347" max="14347" width="20" style="53" customWidth="1"/>
    <col min="14348" max="14348" width="11" style="53" customWidth="1"/>
    <col min="14349" max="14592" width="9.140625" style="53"/>
    <col min="14593" max="14593" width="4.7109375" style="53" customWidth="1"/>
    <col min="14594" max="14594" width="45.5703125" style="53" customWidth="1"/>
    <col min="14595" max="14595" width="15.85546875" style="53" customWidth="1"/>
    <col min="14596" max="14596" width="19.140625" style="53" customWidth="1"/>
    <col min="14597" max="14597" width="12.7109375" style="53" customWidth="1"/>
    <col min="14598" max="14598" width="12" style="53" customWidth="1"/>
    <col min="14599" max="14602" width="13.140625" style="53" customWidth="1"/>
    <col min="14603" max="14603" width="20" style="53" customWidth="1"/>
    <col min="14604" max="14604" width="11" style="53" customWidth="1"/>
    <col min="14605" max="14848" width="9.140625" style="53"/>
    <col min="14849" max="14849" width="4.7109375" style="53" customWidth="1"/>
    <col min="14850" max="14850" width="45.5703125" style="53" customWidth="1"/>
    <col min="14851" max="14851" width="15.85546875" style="53" customWidth="1"/>
    <col min="14852" max="14852" width="19.140625" style="53" customWidth="1"/>
    <col min="14853" max="14853" width="12.7109375" style="53" customWidth="1"/>
    <col min="14854" max="14854" width="12" style="53" customWidth="1"/>
    <col min="14855" max="14858" width="13.140625" style="53" customWidth="1"/>
    <col min="14859" max="14859" width="20" style="53" customWidth="1"/>
    <col min="14860" max="14860" width="11" style="53" customWidth="1"/>
    <col min="14861" max="15104" width="9.140625" style="53"/>
    <col min="15105" max="15105" width="4.7109375" style="53" customWidth="1"/>
    <col min="15106" max="15106" width="45.5703125" style="53" customWidth="1"/>
    <col min="15107" max="15107" width="15.85546875" style="53" customWidth="1"/>
    <col min="15108" max="15108" width="19.140625" style="53" customWidth="1"/>
    <col min="15109" max="15109" width="12.7109375" style="53" customWidth="1"/>
    <col min="15110" max="15110" width="12" style="53" customWidth="1"/>
    <col min="15111" max="15114" width="13.140625" style="53" customWidth="1"/>
    <col min="15115" max="15115" width="20" style="53" customWidth="1"/>
    <col min="15116" max="15116" width="11" style="53" customWidth="1"/>
    <col min="15117" max="15360" width="9.140625" style="53"/>
    <col min="15361" max="15361" width="4.7109375" style="53" customWidth="1"/>
    <col min="15362" max="15362" width="45.5703125" style="53" customWidth="1"/>
    <col min="15363" max="15363" width="15.85546875" style="53" customWidth="1"/>
    <col min="15364" max="15364" width="19.140625" style="53" customWidth="1"/>
    <col min="15365" max="15365" width="12.7109375" style="53" customWidth="1"/>
    <col min="15366" max="15366" width="12" style="53" customWidth="1"/>
    <col min="15367" max="15370" width="13.140625" style="53" customWidth="1"/>
    <col min="15371" max="15371" width="20" style="53" customWidth="1"/>
    <col min="15372" max="15372" width="11" style="53" customWidth="1"/>
    <col min="15373" max="15616" width="9.140625" style="53"/>
    <col min="15617" max="15617" width="4.7109375" style="53" customWidth="1"/>
    <col min="15618" max="15618" width="45.5703125" style="53" customWidth="1"/>
    <col min="15619" max="15619" width="15.85546875" style="53" customWidth="1"/>
    <col min="15620" max="15620" width="19.140625" style="53" customWidth="1"/>
    <col min="15621" max="15621" width="12.7109375" style="53" customWidth="1"/>
    <col min="15622" max="15622" width="12" style="53" customWidth="1"/>
    <col min="15623" max="15626" width="13.140625" style="53" customWidth="1"/>
    <col min="15627" max="15627" width="20" style="53" customWidth="1"/>
    <col min="15628" max="15628" width="11" style="53" customWidth="1"/>
    <col min="15629" max="15872" width="9.140625" style="53"/>
    <col min="15873" max="15873" width="4.7109375" style="53" customWidth="1"/>
    <col min="15874" max="15874" width="45.5703125" style="53" customWidth="1"/>
    <col min="15875" max="15875" width="15.85546875" style="53" customWidth="1"/>
    <col min="15876" max="15876" width="19.140625" style="53" customWidth="1"/>
    <col min="15877" max="15877" width="12.7109375" style="53" customWidth="1"/>
    <col min="15878" max="15878" width="12" style="53" customWidth="1"/>
    <col min="15879" max="15882" width="13.140625" style="53" customWidth="1"/>
    <col min="15883" max="15883" width="20" style="53" customWidth="1"/>
    <col min="15884" max="15884" width="11" style="53" customWidth="1"/>
    <col min="15885" max="16128" width="9.140625" style="53"/>
    <col min="16129" max="16129" width="4.7109375" style="53" customWidth="1"/>
    <col min="16130" max="16130" width="45.5703125" style="53" customWidth="1"/>
    <col min="16131" max="16131" width="15.85546875" style="53" customWidth="1"/>
    <col min="16132" max="16132" width="19.140625" style="53" customWidth="1"/>
    <col min="16133" max="16133" width="12.7109375" style="53" customWidth="1"/>
    <col min="16134" max="16134" width="12" style="53" customWidth="1"/>
    <col min="16135" max="16138" width="13.140625" style="53" customWidth="1"/>
    <col min="16139" max="16139" width="20" style="53" customWidth="1"/>
    <col min="16140" max="16140" width="11" style="53" customWidth="1"/>
    <col min="16141" max="16384" width="9.140625" style="53"/>
  </cols>
  <sheetData>
    <row r="1" spans="1:11" x14ac:dyDescent="0.2">
      <c r="K1" s="52" t="s">
        <v>125</v>
      </c>
    </row>
    <row r="2" spans="1:11" x14ac:dyDescent="0.2">
      <c r="E2" s="81" t="s">
        <v>126</v>
      </c>
      <c r="F2" s="81"/>
      <c r="G2" s="81"/>
      <c r="H2" s="81"/>
      <c r="I2" s="81"/>
      <c r="J2" s="81"/>
      <c r="K2" s="81"/>
    </row>
    <row r="3" spans="1:11" x14ac:dyDescent="0.2">
      <c r="E3" s="82"/>
      <c r="F3" s="82"/>
      <c r="G3" s="82"/>
      <c r="H3" s="82"/>
      <c r="I3" s="82"/>
      <c r="J3" s="82"/>
      <c r="K3" s="82"/>
    </row>
    <row r="5" spans="1:11" s="32" customFormat="1" ht="18.75" x14ac:dyDescent="0.2">
      <c r="B5" s="83" t="s">
        <v>82</v>
      </c>
      <c r="C5" s="83"/>
      <c r="D5" s="83"/>
      <c r="E5" s="83"/>
      <c r="F5" s="83"/>
      <c r="G5" s="83"/>
      <c r="H5" s="83"/>
      <c r="I5" s="83"/>
      <c r="J5" s="83"/>
      <c r="K5" s="83"/>
    </row>
    <row r="7" spans="1:11" x14ac:dyDescent="0.2">
      <c r="B7" s="33" t="s">
        <v>83</v>
      </c>
      <c r="C7" s="84" t="s">
        <v>84</v>
      </c>
      <c r="D7" s="84"/>
      <c r="E7" s="84"/>
      <c r="F7" s="84"/>
      <c r="G7" s="84"/>
      <c r="H7" s="84"/>
      <c r="I7" s="84"/>
      <c r="J7" s="84"/>
      <c r="K7" s="84"/>
    </row>
    <row r="8" spans="1:11" x14ac:dyDescent="0.2">
      <c r="B8" s="54" t="s">
        <v>85</v>
      </c>
      <c r="C8" s="84" t="s">
        <v>86</v>
      </c>
      <c r="D8" s="84"/>
      <c r="E8" s="84"/>
      <c r="F8" s="84"/>
      <c r="G8" s="84"/>
      <c r="H8" s="84"/>
      <c r="I8" s="84"/>
      <c r="J8" s="84"/>
      <c r="K8" s="84"/>
    </row>
    <row r="10" spans="1:11" s="34" customFormat="1" ht="42.75" customHeight="1" x14ac:dyDescent="0.2">
      <c r="A10" s="77" t="s">
        <v>2</v>
      </c>
      <c r="B10" s="77" t="s">
        <v>87</v>
      </c>
      <c r="C10" s="77" t="s">
        <v>88</v>
      </c>
      <c r="D10" s="77" t="s">
        <v>89</v>
      </c>
      <c r="E10" s="78" t="s">
        <v>90</v>
      </c>
      <c r="F10" s="79"/>
      <c r="G10" s="79"/>
      <c r="H10" s="79"/>
      <c r="I10" s="79"/>
      <c r="J10" s="80"/>
      <c r="K10" s="77" t="s">
        <v>91</v>
      </c>
    </row>
    <row r="11" spans="1:11" s="34" customFormat="1" ht="19.5" customHeight="1" x14ac:dyDescent="0.2">
      <c r="A11" s="77"/>
      <c r="B11" s="77"/>
      <c r="C11" s="77"/>
      <c r="D11" s="77"/>
      <c r="E11" s="88" t="s">
        <v>34</v>
      </c>
      <c r="F11" s="90" t="s">
        <v>42</v>
      </c>
      <c r="G11" s="90" t="s">
        <v>52</v>
      </c>
      <c r="H11" s="90" t="s">
        <v>58</v>
      </c>
      <c r="I11" s="90" t="s">
        <v>59</v>
      </c>
      <c r="J11" s="90" t="s">
        <v>60</v>
      </c>
      <c r="K11" s="77"/>
    </row>
    <row r="12" spans="1:11" ht="31.5" customHeight="1" x14ac:dyDescent="0.2">
      <c r="A12" s="77"/>
      <c r="B12" s="77"/>
      <c r="C12" s="77"/>
      <c r="D12" s="77"/>
      <c r="E12" s="89"/>
      <c r="F12" s="90"/>
      <c r="G12" s="90"/>
      <c r="H12" s="90"/>
      <c r="I12" s="90"/>
      <c r="J12" s="90"/>
      <c r="K12" s="77"/>
    </row>
    <row r="13" spans="1:11" ht="22.5" customHeight="1" x14ac:dyDescent="0.2">
      <c r="A13" s="51"/>
      <c r="B13" s="85" t="s">
        <v>114</v>
      </c>
      <c r="C13" s="86"/>
      <c r="D13" s="86"/>
      <c r="E13" s="86"/>
      <c r="F13" s="86"/>
      <c r="G13" s="86"/>
      <c r="H13" s="86"/>
      <c r="I13" s="86"/>
      <c r="J13" s="86"/>
      <c r="K13" s="87"/>
    </row>
    <row r="14" spans="1:11" ht="63" x14ac:dyDescent="0.2">
      <c r="A14" s="55" t="s">
        <v>115</v>
      </c>
      <c r="B14" s="35" t="s">
        <v>117</v>
      </c>
      <c r="C14" s="55" t="s">
        <v>123</v>
      </c>
      <c r="D14" s="67">
        <v>100</v>
      </c>
      <c r="E14" s="67">
        <v>110</v>
      </c>
      <c r="F14" s="67">
        <v>120</v>
      </c>
      <c r="G14" s="67">
        <v>130</v>
      </c>
      <c r="H14" s="67">
        <v>140</v>
      </c>
      <c r="I14" s="67">
        <v>150</v>
      </c>
      <c r="J14" s="67">
        <v>160</v>
      </c>
      <c r="K14" s="67">
        <f>D14+E14+F14+G14+H14+I14+J14</f>
        <v>910</v>
      </c>
    </row>
    <row r="15" spans="1:11" ht="47.25" x14ac:dyDescent="0.2">
      <c r="A15" s="55" t="s">
        <v>19</v>
      </c>
      <c r="B15" s="35" t="s">
        <v>118</v>
      </c>
      <c r="C15" s="55" t="s">
        <v>92</v>
      </c>
      <c r="D15" s="36">
        <v>3033</v>
      </c>
      <c r="E15" s="36">
        <v>3140</v>
      </c>
      <c r="F15" s="36">
        <v>3250</v>
      </c>
      <c r="G15" s="36">
        <v>3360</v>
      </c>
      <c r="H15" s="36">
        <v>3480</v>
      </c>
      <c r="I15" s="36">
        <v>3600</v>
      </c>
      <c r="J15" s="36">
        <v>3730</v>
      </c>
      <c r="K15" s="36">
        <f>J15</f>
        <v>3730</v>
      </c>
    </row>
    <row r="16" spans="1:11" ht="15.75" hidden="1" customHeight="1" x14ac:dyDescent="0.2">
      <c r="A16" s="55" t="s">
        <v>49</v>
      </c>
      <c r="B16" s="35" t="s">
        <v>93</v>
      </c>
      <c r="C16" s="55" t="s">
        <v>94</v>
      </c>
      <c r="D16" s="36">
        <v>90</v>
      </c>
      <c r="E16" s="36">
        <v>90</v>
      </c>
      <c r="F16" s="36">
        <v>91</v>
      </c>
      <c r="G16" s="36">
        <v>92</v>
      </c>
      <c r="H16" s="36">
        <v>93</v>
      </c>
      <c r="I16" s="36">
        <v>94</v>
      </c>
      <c r="J16" s="36">
        <v>95</v>
      </c>
      <c r="K16" s="36">
        <f>J16</f>
        <v>95</v>
      </c>
    </row>
    <row r="17" spans="1:11" ht="31.5" hidden="1" customHeight="1" x14ac:dyDescent="0.2">
      <c r="A17" s="55">
        <v>6</v>
      </c>
      <c r="B17" s="35" t="s">
        <v>95</v>
      </c>
      <c r="C17" s="55" t="s">
        <v>92</v>
      </c>
      <c r="D17" s="36">
        <v>4</v>
      </c>
      <c r="E17" s="36">
        <v>4</v>
      </c>
      <c r="F17" s="36">
        <v>4</v>
      </c>
      <c r="G17" s="36">
        <v>4</v>
      </c>
      <c r="H17" s="36"/>
      <c r="I17" s="36"/>
      <c r="J17" s="36"/>
      <c r="K17" s="36">
        <f>E17+F17+G17</f>
        <v>12</v>
      </c>
    </row>
    <row r="18" spans="1:11" ht="31.5" hidden="1" customHeight="1" x14ac:dyDescent="0.2">
      <c r="A18" s="55" t="s">
        <v>96</v>
      </c>
      <c r="B18" s="35" t="s">
        <v>97</v>
      </c>
      <c r="C18" s="55" t="s">
        <v>98</v>
      </c>
      <c r="D18" s="36">
        <v>0</v>
      </c>
      <c r="E18" s="36">
        <v>0</v>
      </c>
      <c r="F18" s="36">
        <v>1300</v>
      </c>
      <c r="G18" s="36">
        <v>84700</v>
      </c>
      <c r="H18" s="36"/>
      <c r="I18" s="36"/>
      <c r="J18" s="36"/>
      <c r="K18" s="36">
        <f>E18+F18+G18</f>
        <v>86000</v>
      </c>
    </row>
    <row r="19" spans="1:11" ht="63" x14ac:dyDescent="0.2">
      <c r="A19" s="55" t="s">
        <v>49</v>
      </c>
      <c r="B19" s="35" t="s">
        <v>119</v>
      </c>
      <c r="C19" s="55" t="s">
        <v>120</v>
      </c>
      <c r="D19" s="36">
        <v>927.1</v>
      </c>
      <c r="E19" s="36">
        <v>929</v>
      </c>
      <c r="F19" s="36">
        <v>930.8</v>
      </c>
      <c r="G19" s="36">
        <v>932.7</v>
      </c>
      <c r="H19" s="36">
        <v>934.5</v>
      </c>
      <c r="I19" s="36">
        <v>936.4</v>
      </c>
      <c r="J19" s="36">
        <v>938.3</v>
      </c>
      <c r="K19" s="36">
        <f>J19</f>
        <v>938.3</v>
      </c>
    </row>
    <row r="20" spans="1:11" ht="31.5" x14ac:dyDescent="0.2">
      <c r="A20" s="55" t="s">
        <v>50</v>
      </c>
      <c r="B20" s="35" t="s">
        <v>121</v>
      </c>
      <c r="C20" s="55" t="s">
        <v>94</v>
      </c>
      <c r="D20" s="36">
        <v>299</v>
      </c>
      <c r="E20" s="36">
        <v>306</v>
      </c>
      <c r="F20" s="36">
        <v>311</v>
      </c>
      <c r="G20" s="36">
        <v>316</v>
      </c>
      <c r="H20" s="36">
        <v>320</v>
      </c>
      <c r="I20" s="36">
        <v>325</v>
      </c>
      <c r="J20" s="36">
        <v>330</v>
      </c>
      <c r="K20" s="36">
        <f>J20</f>
        <v>330</v>
      </c>
    </row>
    <row r="21" spans="1:11" ht="15.75" x14ac:dyDescent="0.2">
      <c r="A21" s="55"/>
      <c r="B21" s="85" t="s">
        <v>116</v>
      </c>
      <c r="C21" s="86"/>
      <c r="D21" s="86"/>
      <c r="E21" s="86"/>
      <c r="F21" s="86"/>
      <c r="G21" s="86"/>
      <c r="H21" s="86"/>
      <c r="I21" s="86"/>
      <c r="J21" s="86"/>
      <c r="K21" s="87"/>
    </row>
    <row r="22" spans="1:11" ht="31.5" x14ac:dyDescent="0.2">
      <c r="A22" s="55" t="s">
        <v>6</v>
      </c>
      <c r="B22" s="35" t="s">
        <v>99</v>
      </c>
      <c r="C22" s="55" t="s">
        <v>100</v>
      </c>
      <c r="D22" s="57">
        <v>95.64</v>
      </c>
      <c r="E22" s="57">
        <v>96.4</v>
      </c>
      <c r="F22" s="57">
        <v>101.78</v>
      </c>
      <c r="G22" s="57">
        <v>107.62</v>
      </c>
      <c r="H22" s="57">
        <v>113.98</v>
      </c>
      <c r="I22" s="57">
        <v>116.28</v>
      </c>
      <c r="J22" s="57">
        <v>120</v>
      </c>
      <c r="K22" s="57">
        <f>J22</f>
        <v>120</v>
      </c>
    </row>
    <row r="23" spans="1:11" ht="47.25" x14ac:dyDescent="0.2">
      <c r="A23" s="55" t="s">
        <v>7</v>
      </c>
      <c r="B23" s="35" t="s">
        <v>101</v>
      </c>
      <c r="C23" s="58" t="s">
        <v>124</v>
      </c>
      <c r="D23" s="37">
        <v>111.6</v>
      </c>
      <c r="E23" s="37">
        <v>112.9</v>
      </c>
      <c r="F23" s="37">
        <v>114.3</v>
      </c>
      <c r="G23" s="37">
        <v>115.7</v>
      </c>
      <c r="H23" s="37">
        <v>117.1</v>
      </c>
      <c r="I23" s="37">
        <v>118.5</v>
      </c>
      <c r="J23" s="37">
        <v>120</v>
      </c>
      <c r="K23" s="37">
        <f>J23</f>
        <v>120</v>
      </c>
    </row>
    <row r="24" spans="1:11" ht="47.25" x14ac:dyDescent="0.2">
      <c r="A24" s="55" t="s">
        <v>8</v>
      </c>
      <c r="B24" s="35" t="s">
        <v>102</v>
      </c>
      <c r="C24" s="55" t="s">
        <v>103</v>
      </c>
      <c r="D24" s="37">
        <v>128.4</v>
      </c>
      <c r="E24" s="37">
        <v>175.2</v>
      </c>
      <c r="F24" s="37">
        <v>180.8</v>
      </c>
      <c r="G24" s="37">
        <v>186.6</v>
      </c>
      <c r="H24" s="37">
        <v>192.6</v>
      </c>
      <c r="I24" s="37">
        <v>198.8</v>
      </c>
      <c r="J24" s="37">
        <v>205.1</v>
      </c>
      <c r="K24" s="37">
        <f>J24</f>
        <v>205.1</v>
      </c>
    </row>
    <row r="25" spans="1:11" ht="63" x14ac:dyDescent="0.2">
      <c r="A25" s="55" t="s">
        <v>9</v>
      </c>
      <c r="B25" s="35" t="s">
        <v>122</v>
      </c>
      <c r="C25" s="55" t="s">
        <v>104</v>
      </c>
      <c r="D25" s="57">
        <v>26699.73</v>
      </c>
      <c r="E25" s="57">
        <v>22744.11</v>
      </c>
      <c r="F25" s="57">
        <v>23916.34</v>
      </c>
      <c r="G25" s="57">
        <v>25290.86</v>
      </c>
      <c r="H25" s="57">
        <v>26936.39</v>
      </c>
      <c r="I25" s="57">
        <v>27879.16</v>
      </c>
      <c r="J25" s="57">
        <v>28715.53</v>
      </c>
      <c r="K25" s="57">
        <f>J25</f>
        <v>28715.53</v>
      </c>
    </row>
    <row r="26" spans="1:11" ht="31.5" x14ac:dyDescent="0.2">
      <c r="A26" s="55" t="s">
        <v>51</v>
      </c>
      <c r="B26" s="35" t="s">
        <v>105</v>
      </c>
      <c r="C26" s="55" t="s">
        <v>106</v>
      </c>
      <c r="D26" s="36">
        <v>329</v>
      </c>
      <c r="E26" s="37" t="s">
        <v>107</v>
      </c>
      <c r="F26" s="37" t="s">
        <v>107</v>
      </c>
      <c r="G26" s="37" t="s">
        <v>107</v>
      </c>
      <c r="H26" s="37" t="s">
        <v>107</v>
      </c>
      <c r="I26" s="37" t="s">
        <v>107</v>
      </c>
      <c r="J26" s="37" t="s">
        <v>107</v>
      </c>
      <c r="K26" s="37" t="s">
        <v>108</v>
      </c>
    </row>
  </sheetData>
  <mergeCells count="19">
    <mergeCell ref="B13:K13"/>
    <mergeCell ref="B21:K21"/>
    <mergeCell ref="K10:K12"/>
    <mergeCell ref="E11:E12"/>
    <mergeCell ref="F11:F12"/>
    <mergeCell ref="G11:G12"/>
    <mergeCell ref="H11:H12"/>
    <mergeCell ref="I11:I12"/>
    <mergeCell ref="J11:J12"/>
    <mergeCell ref="E2:K2"/>
    <mergeCell ref="E3:K3"/>
    <mergeCell ref="B5:K5"/>
    <mergeCell ref="C7:K7"/>
    <mergeCell ref="C8:K8"/>
    <mergeCell ref="A10:A12"/>
    <mergeCell ref="B10:B12"/>
    <mergeCell ref="C10:C12"/>
    <mergeCell ref="D10:D12"/>
    <mergeCell ref="E10:J10"/>
  </mergeCells>
  <pageMargins left="0.51181102362204722" right="0.51181102362204722" top="0.74803149606299213" bottom="0.74803149606299213" header="0.31496062992125984" footer="0.31496062992125984"/>
  <pageSetup paperSize="9" scale="76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view="pageBreakPreview" zoomScale="70" zoomScaleNormal="85" zoomScaleSheetLayoutView="70" workbookViewId="0">
      <selection activeCell="I35" sqref="I35"/>
    </sheetView>
  </sheetViews>
  <sheetFormatPr defaultRowHeight="15.75" x14ac:dyDescent="0.25"/>
  <cols>
    <col min="1" max="1" width="5.28515625" style="8" customWidth="1"/>
    <col min="2" max="2" width="37.5703125" style="1" customWidth="1"/>
    <col min="3" max="3" width="26.140625" style="1" customWidth="1"/>
    <col min="4" max="4" width="32" style="1" customWidth="1"/>
    <col min="5" max="5" width="32" style="1" hidden="1" customWidth="1"/>
    <col min="6" max="6" width="16.42578125" style="1" hidden="1" customWidth="1"/>
    <col min="7" max="7" width="18.85546875" style="9" customWidth="1"/>
    <col min="8" max="8" width="18.42578125" style="1" customWidth="1"/>
    <col min="9" max="9" width="14.7109375" style="1" customWidth="1"/>
    <col min="10" max="11" width="15.28515625" style="1" customWidth="1"/>
    <col min="12" max="12" width="16" style="1" customWidth="1"/>
    <col min="13" max="13" width="15.28515625" style="1" customWidth="1"/>
    <col min="14" max="14" width="15.42578125" style="1" customWidth="1"/>
    <col min="15" max="15" width="42" style="12" customWidth="1"/>
    <col min="16" max="16384" width="9.140625" style="1"/>
  </cols>
  <sheetData>
    <row r="1" spans="1:15" s="64" customFormat="1" ht="12.75" customHeight="1" x14ac:dyDescent="0.2">
      <c r="G1" s="94" t="s">
        <v>127</v>
      </c>
      <c r="H1" s="94"/>
      <c r="I1" s="94"/>
      <c r="J1" s="94"/>
      <c r="K1" s="94"/>
      <c r="L1" s="94"/>
      <c r="M1" s="94"/>
      <c r="N1" s="94"/>
      <c r="O1" s="11"/>
    </row>
    <row r="2" spans="1:15" s="64" customFormat="1" ht="18.75" customHeight="1" x14ac:dyDescent="0.2">
      <c r="G2" s="56"/>
      <c r="H2" s="56"/>
      <c r="I2" s="94" t="s">
        <v>126</v>
      </c>
      <c r="J2" s="94"/>
      <c r="K2" s="94"/>
      <c r="L2" s="94"/>
      <c r="M2" s="94"/>
      <c r="N2" s="94"/>
      <c r="O2" s="11"/>
    </row>
    <row r="3" spans="1:15" s="64" customFormat="1" ht="12.75" customHeight="1" x14ac:dyDescent="0.2">
      <c r="G3" s="94"/>
      <c r="H3" s="94"/>
      <c r="I3" s="94"/>
      <c r="J3" s="94"/>
      <c r="K3" s="94"/>
      <c r="L3" s="94"/>
      <c r="M3" s="94"/>
      <c r="N3" s="94"/>
      <c r="O3" s="11"/>
    </row>
    <row r="4" spans="1:15" ht="27" customHeight="1" x14ac:dyDescent="0.2">
      <c r="A4" s="98" t="s">
        <v>128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5" ht="39" customHeight="1" x14ac:dyDescent="0.2">
      <c r="A5" s="99" t="s">
        <v>2</v>
      </c>
      <c r="B5" s="77" t="s">
        <v>13</v>
      </c>
      <c r="C5" s="77" t="s">
        <v>43</v>
      </c>
      <c r="D5" s="77" t="s">
        <v>35</v>
      </c>
      <c r="E5" s="77" t="s">
        <v>35</v>
      </c>
      <c r="F5" s="77" t="s">
        <v>14</v>
      </c>
      <c r="G5" s="77" t="s">
        <v>36</v>
      </c>
      <c r="H5" s="101" t="s">
        <v>113</v>
      </c>
      <c r="I5" s="102"/>
      <c r="J5" s="102"/>
      <c r="K5" s="102"/>
      <c r="L5" s="102"/>
      <c r="M5" s="102"/>
      <c r="N5" s="103"/>
    </row>
    <row r="6" spans="1:15" ht="31.5" customHeight="1" x14ac:dyDescent="0.2">
      <c r="A6" s="99"/>
      <c r="B6" s="77"/>
      <c r="C6" s="77"/>
      <c r="D6" s="77"/>
      <c r="E6" s="77"/>
      <c r="F6" s="77"/>
      <c r="G6" s="100"/>
      <c r="H6" s="51" t="s">
        <v>1</v>
      </c>
      <c r="I6" s="51" t="s">
        <v>34</v>
      </c>
      <c r="J6" s="51" t="s">
        <v>42</v>
      </c>
      <c r="K6" s="51" t="s">
        <v>52</v>
      </c>
      <c r="L6" s="51" t="s">
        <v>58</v>
      </c>
      <c r="M6" s="51" t="s">
        <v>59</v>
      </c>
      <c r="N6" s="51" t="s">
        <v>60</v>
      </c>
    </row>
    <row r="7" spans="1:15" x14ac:dyDescent="0.2">
      <c r="A7" s="59" t="s">
        <v>33</v>
      </c>
      <c r="B7" s="51">
        <v>2</v>
      </c>
      <c r="C7" s="51">
        <v>3</v>
      </c>
      <c r="D7" s="51">
        <v>4</v>
      </c>
      <c r="E7" s="51">
        <v>4</v>
      </c>
      <c r="F7" s="51">
        <v>5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51">
        <v>11</v>
      </c>
      <c r="N7" s="51">
        <v>12</v>
      </c>
    </row>
    <row r="8" spans="1:15" s="2" customFormat="1" ht="21.75" hidden="1" customHeight="1" x14ac:dyDescent="0.2">
      <c r="A8" s="104" t="s">
        <v>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/>
      <c r="O8" s="13"/>
    </row>
    <row r="9" spans="1:15" s="2" customFormat="1" ht="37.5" hidden="1" customHeight="1" x14ac:dyDescent="0.2">
      <c r="A9" s="104" t="s">
        <v>53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  <c r="O9" s="13"/>
    </row>
    <row r="10" spans="1:15" s="2" customFormat="1" ht="42" customHeight="1" x14ac:dyDescent="0.2">
      <c r="A10" s="96" t="s">
        <v>11</v>
      </c>
      <c r="B10" s="97" t="s">
        <v>129</v>
      </c>
      <c r="C10" s="107" t="s">
        <v>79</v>
      </c>
      <c r="D10" s="108" t="s">
        <v>81</v>
      </c>
      <c r="E10" s="16"/>
      <c r="F10" s="16"/>
      <c r="G10" s="15" t="s">
        <v>56</v>
      </c>
      <c r="H10" s="40">
        <f t="shared" ref="H10:N10" si="0">H11+H12</f>
        <v>86635.298150000002</v>
      </c>
      <c r="I10" s="40">
        <f t="shared" si="0"/>
        <v>14448.298150000001</v>
      </c>
      <c r="J10" s="19">
        <f t="shared" si="0"/>
        <v>14437.4</v>
      </c>
      <c r="K10" s="19">
        <f t="shared" si="0"/>
        <v>14437.4</v>
      </c>
      <c r="L10" s="19">
        <f t="shared" si="0"/>
        <v>14437.4</v>
      </c>
      <c r="M10" s="19">
        <f t="shared" si="0"/>
        <v>14437.4</v>
      </c>
      <c r="N10" s="19">
        <f t="shared" si="0"/>
        <v>14437.4</v>
      </c>
      <c r="O10" s="13"/>
    </row>
    <row r="11" spans="1:15" ht="51.75" customHeight="1" x14ac:dyDescent="0.2">
      <c r="A11" s="96"/>
      <c r="B11" s="97"/>
      <c r="C11" s="107"/>
      <c r="D11" s="108"/>
      <c r="E11" s="60" t="s">
        <v>47</v>
      </c>
      <c r="F11" s="57" t="s">
        <v>25</v>
      </c>
      <c r="G11" s="63" t="s">
        <v>38</v>
      </c>
      <c r="H11" s="18">
        <f>SUM(I11:N11)</f>
        <v>85780.842170000004</v>
      </c>
      <c r="I11" s="18">
        <f t="shared" ref="I11:N12" si="1">I14+I17+I20+I23+I26+I29</f>
        <v>14315.84217</v>
      </c>
      <c r="J11" s="18">
        <f t="shared" si="1"/>
        <v>14293</v>
      </c>
      <c r="K11" s="18">
        <f t="shared" si="1"/>
        <v>14293</v>
      </c>
      <c r="L11" s="18">
        <f t="shared" si="1"/>
        <v>14293</v>
      </c>
      <c r="M11" s="18">
        <f t="shared" si="1"/>
        <v>14293</v>
      </c>
      <c r="N11" s="18">
        <f t="shared" si="1"/>
        <v>14293</v>
      </c>
    </row>
    <row r="12" spans="1:15" ht="38.25" customHeight="1" x14ac:dyDescent="0.2">
      <c r="A12" s="96"/>
      <c r="B12" s="97"/>
      <c r="C12" s="107"/>
      <c r="D12" s="108"/>
      <c r="E12" s="60"/>
      <c r="F12" s="57"/>
      <c r="G12" s="63" t="s">
        <v>55</v>
      </c>
      <c r="H12" s="18">
        <f>SUM(I12:N12)</f>
        <v>854.45597999999995</v>
      </c>
      <c r="I12" s="18">
        <f t="shared" si="1"/>
        <v>132.45598000000001</v>
      </c>
      <c r="J12" s="18">
        <f t="shared" si="1"/>
        <v>144.4</v>
      </c>
      <c r="K12" s="18">
        <f t="shared" si="1"/>
        <v>144.4</v>
      </c>
      <c r="L12" s="18">
        <f t="shared" si="1"/>
        <v>144.4</v>
      </c>
      <c r="M12" s="18">
        <f t="shared" si="1"/>
        <v>144.4</v>
      </c>
      <c r="N12" s="18">
        <f t="shared" si="1"/>
        <v>144.4</v>
      </c>
    </row>
    <row r="13" spans="1:15" x14ac:dyDescent="0.2">
      <c r="A13" s="96" t="s">
        <v>48</v>
      </c>
      <c r="B13" s="97" t="s">
        <v>10</v>
      </c>
      <c r="C13" s="97" t="s">
        <v>68</v>
      </c>
      <c r="D13" s="95" t="s">
        <v>22</v>
      </c>
      <c r="E13" s="60"/>
      <c r="F13" s="57"/>
      <c r="G13" s="15" t="s">
        <v>56</v>
      </c>
      <c r="H13" s="20">
        <f>H14+H15</f>
        <v>19696.8</v>
      </c>
      <c r="I13" s="20">
        <f t="shared" ref="I13:N13" si="2">I14+I15</f>
        <v>3282.8</v>
      </c>
      <c r="J13" s="20">
        <f t="shared" si="2"/>
        <v>3282.8</v>
      </c>
      <c r="K13" s="20">
        <f t="shared" si="2"/>
        <v>3282.8</v>
      </c>
      <c r="L13" s="20">
        <f t="shared" si="2"/>
        <v>3282.8</v>
      </c>
      <c r="M13" s="20">
        <f t="shared" si="2"/>
        <v>3282.8</v>
      </c>
      <c r="N13" s="20">
        <f t="shared" si="2"/>
        <v>3282.8</v>
      </c>
    </row>
    <row r="14" spans="1:15" ht="31.5" x14ac:dyDescent="0.2">
      <c r="A14" s="96"/>
      <c r="B14" s="97"/>
      <c r="C14" s="97"/>
      <c r="D14" s="95"/>
      <c r="E14" s="57" t="s">
        <v>22</v>
      </c>
      <c r="F14" s="57" t="s">
        <v>0</v>
      </c>
      <c r="G14" s="63" t="s">
        <v>38</v>
      </c>
      <c r="H14" s="18">
        <f>SUM(I14:N14)</f>
        <v>19500</v>
      </c>
      <c r="I14" s="18">
        <v>3250</v>
      </c>
      <c r="J14" s="18">
        <v>3250</v>
      </c>
      <c r="K14" s="18">
        <v>3250</v>
      </c>
      <c r="L14" s="18">
        <v>3250</v>
      </c>
      <c r="M14" s="18">
        <v>3250</v>
      </c>
      <c r="N14" s="18">
        <v>3250</v>
      </c>
    </row>
    <row r="15" spans="1:15" x14ac:dyDescent="0.2">
      <c r="A15" s="96"/>
      <c r="B15" s="97"/>
      <c r="C15" s="97"/>
      <c r="D15" s="95"/>
      <c r="E15" s="57"/>
      <c r="F15" s="57"/>
      <c r="G15" s="63" t="s">
        <v>55</v>
      </c>
      <c r="H15" s="18">
        <f>SUM(I15:N15)</f>
        <v>196.8</v>
      </c>
      <c r="I15" s="18">
        <v>32.799999999999997</v>
      </c>
      <c r="J15" s="18">
        <v>32.799999999999997</v>
      </c>
      <c r="K15" s="18">
        <v>32.799999999999997</v>
      </c>
      <c r="L15" s="18">
        <v>32.799999999999997</v>
      </c>
      <c r="M15" s="18">
        <v>32.799999999999997</v>
      </c>
      <c r="N15" s="18">
        <v>32.799999999999997</v>
      </c>
    </row>
    <row r="16" spans="1:15" ht="26.25" customHeight="1" x14ac:dyDescent="0.2">
      <c r="A16" s="96" t="s">
        <v>19</v>
      </c>
      <c r="B16" s="97" t="s">
        <v>21</v>
      </c>
      <c r="C16" s="95" t="s">
        <v>39</v>
      </c>
      <c r="D16" s="95" t="s">
        <v>16</v>
      </c>
      <c r="E16" s="57"/>
      <c r="F16" s="57"/>
      <c r="G16" s="15" t="s">
        <v>56</v>
      </c>
      <c r="H16" s="20">
        <f>H17+H18</f>
        <v>1097</v>
      </c>
      <c r="I16" s="20">
        <f t="shared" ref="I16:N16" si="3">I17+I18</f>
        <v>344.5</v>
      </c>
      <c r="J16" s="20">
        <f t="shared" si="3"/>
        <v>150.5</v>
      </c>
      <c r="K16" s="20">
        <f t="shared" si="3"/>
        <v>150.5</v>
      </c>
      <c r="L16" s="20">
        <f t="shared" si="3"/>
        <v>150.5</v>
      </c>
      <c r="M16" s="20">
        <f t="shared" si="3"/>
        <v>150.5</v>
      </c>
      <c r="N16" s="20">
        <f t="shared" si="3"/>
        <v>150.5</v>
      </c>
    </row>
    <row r="17" spans="1:14" s="1" customFormat="1" ht="31.5" x14ac:dyDescent="0.2">
      <c r="A17" s="96"/>
      <c r="B17" s="97"/>
      <c r="C17" s="95"/>
      <c r="D17" s="95"/>
      <c r="E17" s="57" t="s">
        <v>16</v>
      </c>
      <c r="F17" s="57" t="s">
        <v>26</v>
      </c>
      <c r="G17" s="63" t="s">
        <v>38</v>
      </c>
      <c r="H17" s="18">
        <f>SUM(I17:N17)</f>
        <v>1086</v>
      </c>
      <c r="I17" s="18">
        <v>341</v>
      </c>
      <c r="J17" s="18">
        <v>149</v>
      </c>
      <c r="K17" s="18">
        <v>149</v>
      </c>
      <c r="L17" s="18">
        <v>149</v>
      </c>
      <c r="M17" s="18">
        <v>149</v>
      </c>
      <c r="N17" s="18">
        <v>149</v>
      </c>
    </row>
    <row r="18" spans="1:14" s="1" customFormat="1" ht="25.5" customHeight="1" x14ac:dyDescent="0.2">
      <c r="A18" s="96"/>
      <c r="B18" s="97"/>
      <c r="C18" s="95"/>
      <c r="D18" s="95"/>
      <c r="E18" s="57"/>
      <c r="F18" s="57"/>
      <c r="G18" s="63" t="s">
        <v>55</v>
      </c>
      <c r="H18" s="18">
        <f>SUM(I18:N18)</f>
        <v>11</v>
      </c>
      <c r="I18" s="18">
        <v>3.5</v>
      </c>
      <c r="J18" s="18">
        <v>1.5</v>
      </c>
      <c r="K18" s="18">
        <v>1.5</v>
      </c>
      <c r="L18" s="18">
        <v>1.5</v>
      </c>
      <c r="M18" s="18">
        <v>1.5</v>
      </c>
      <c r="N18" s="18">
        <v>1.5</v>
      </c>
    </row>
    <row r="19" spans="1:14" s="1" customFormat="1" x14ac:dyDescent="0.2">
      <c r="A19" s="96" t="s">
        <v>49</v>
      </c>
      <c r="B19" s="90" t="s">
        <v>69</v>
      </c>
      <c r="C19" s="95" t="s">
        <v>68</v>
      </c>
      <c r="D19" s="95" t="s">
        <v>131</v>
      </c>
      <c r="E19" s="57"/>
      <c r="F19" s="57"/>
      <c r="G19" s="15" t="s">
        <v>56</v>
      </c>
      <c r="H19" s="20">
        <f>H20+H21</f>
        <v>2495</v>
      </c>
      <c r="I19" s="20">
        <f t="shared" ref="I19:N19" si="4">I20+I21</f>
        <v>0</v>
      </c>
      <c r="J19" s="20">
        <f t="shared" si="4"/>
        <v>499</v>
      </c>
      <c r="K19" s="20">
        <f t="shared" si="4"/>
        <v>499</v>
      </c>
      <c r="L19" s="20">
        <f t="shared" si="4"/>
        <v>499</v>
      </c>
      <c r="M19" s="20">
        <f t="shared" si="4"/>
        <v>499</v>
      </c>
      <c r="N19" s="20">
        <f t="shared" si="4"/>
        <v>499</v>
      </c>
    </row>
    <row r="20" spans="1:14" s="1" customFormat="1" ht="36" customHeight="1" x14ac:dyDescent="0.2">
      <c r="A20" s="96"/>
      <c r="B20" s="90"/>
      <c r="C20" s="95"/>
      <c r="D20" s="95"/>
      <c r="E20" s="57" t="s">
        <v>44</v>
      </c>
      <c r="F20" s="57" t="s">
        <v>0</v>
      </c>
      <c r="G20" s="63" t="s">
        <v>38</v>
      </c>
      <c r="H20" s="18">
        <f>SUM(I20:N20)</f>
        <v>2470</v>
      </c>
      <c r="I20" s="18">
        <v>0</v>
      </c>
      <c r="J20" s="18">
        <v>494</v>
      </c>
      <c r="K20" s="18">
        <v>494</v>
      </c>
      <c r="L20" s="18">
        <v>494</v>
      </c>
      <c r="M20" s="18">
        <v>494</v>
      </c>
      <c r="N20" s="18">
        <v>494</v>
      </c>
    </row>
    <row r="21" spans="1:14" s="1" customFormat="1" x14ac:dyDescent="0.2">
      <c r="A21" s="96"/>
      <c r="B21" s="90"/>
      <c r="C21" s="95"/>
      <c r="D21" s="95"/>
      <c r="E21" s="57"/>
      <c r="F21" s="57"/>
      <c r="G21" s="63" t="s">
        <v>55</v>
      </c>
      <c r="H21" s="18">
        <f>SUM(I21:N21)</f>
        <v>25</v>
      </c>
      <c r="I21" s="18">
        <v>0</v>
      </c>
      <c r="J21" s="18">
        <v>5</v>
      </c>
      <c r="K21" s="18">
        <v>5</v>
      </c>
      <c r="L21" s="18">
        <v>5</v>
      </c>
      <c r="M21" s="18">
        <v>5</v>
      </c>
      <c r="N21" s="18">
        <v>5</v>
      </c>
    </row>
    <row r="22" spans="1:14" s="1" customFormat="1" ht="15.75" customHeight="1" x14ac:dyDescent="0.2">
      <c r="A22" s="96"/>
      <c r="B22" s="90"/>
      <c r="C22" s="95" t="s">
        <v>45</v>
      </c>
      <c r="D22" s="95" t="s">
        <v>45</v>
      </c>
      <c r="E22" s="57"/>
      <c r="F22" s="57"/>
      <c r="G22" s="62" t="s">
        <v>56</v>
      </c>
      <c r="H22" s="20">
        <f>H23+H24</f>
        <v>11306.4</v>
      </c>
      <c r="I22" s="20">
        <f t="shared" ref="I22:N22" si="5">I23+I24</f>
        <v>1205.4000000000001</v>
      </c>
      <c r="J22" s="20">
        <f t="shared" si="5"/>
        <v>2020.2</v>
      </c>
      <c r="K22" s="20">
        <f t="shared" si="5"/>
        <v>2020.2</v>
      </c>
      <c r="L22" s="20">
        <f t="shared" si="5"/>
        <v>2020.2</v>
      </c>
      <c r="M22" s="20">
        <f t="shared" si="5"/>
        <v>2020.2</v>
      </c>
      <c r="N22" s="20">
        <f t="shared" si="5"/>
        <v>2020.2</v>
      </c>
    </row>
    <row r="23" spans="1:14" s="1" customFormat="1" ht="31.5" x14ac:dyDescent="0.2">
      <c r="A23" s="96"/>
      <c r="B23" s="90"/>
      <c r="C23" s="95"/>
      <c r="D23" s="95"/>
      <c r="E23" s="57" t="s">
        <v>45</v>
      </c>
      <c r="F23" s="57" t="s">
        <v>20</v>
      </c>
      <c r="G23" s="63" t="s">
        <v>38</v>
      </c>
      <c r="H23" s="18">
        <f>SUM(I23:N23)</f>
        <v>11205.4</v>
      </c>
      <c r="I23" s="18">
        <v>1205.4000000000001</v>
      </c>
      <c r="J23" s="18">
        <v>2000</v>
      </c>
      <c r="K23" s="18">
        <v>2000</v>
      </c>
      <c r="L23" s="18">
        <v>2000</v>
      </c>
      <c r="M23" s="18">
        <v>2000</v>
      </c>
      <c r="N23" s="18">
        <v>2000</v>
      </c>
    </row>
    <row r="24" spans="1:14" s="1" customFormat="1" x14ac:dyDescent="0.2">
      <c r="A24" s="96"/>
      <c r="B24" s="90"/>
      <c r="C24" s="95"/>
      <c r="D24" s="95"/>
      <c r="E24" s="57"/>
      <c r="F24" s="57"/>
      <c r="G24" s="63" t="s">
        <v>55</v>
      </c>
      <c r="H24" s="18">
        <f>SUM(I24:N24)</f>
        <v>101</v>
      </c>
      <c r="I24" s="18">
        <v>0</v>
      </c>
      <c r="J24" s="18">
        <v>20.2</v>
      </c>
      <c r="K24" s="18">
        <v>20.2</v>
      </c>
      <c r="L24" s="18">
        <v>20.2</v>
      </c>
      <c r="M24" s="18">
        <v>20.2</v>
      </c>
      <c r="N24" s="18">
        <v>20.2</v>
      </c>
    </row>
    <row r="25" spans="1:14" s="1" customFormat="1" ht="15.75" customHeight="1" x14ac:dyDescent="0.2">
      <c r="A25" s="96" t="s">
        <v>50</v>
      </c>
      <c r="B25" s="97" t="s">
        <v>23</v>
      </c>
      <c r="C25" s="95" t="s">
        <v>31</v>
      </c>
      <c r="D25" s="95" t="s">
        <v>31</v>
      </c>
      <c r="E25" s="57"/>
      <c r="F25" s="57"/>
      <c r="G25" s="62" t="s">
        <v>56</v>
      </c>
      <c r="H25" s="20">
        <f>H26+H27</f>
        <v>9091.1737300000004</v>
      </c>
      <c r="I25" s="20">
        <f t="shared" ref="I25:N25" si="6">I26+I27</f>
        <v>1515.17373</v>
      </c>
      <c r="J25" s="20">
        <f t="shared" si="6"/>
        <v>1515.2</v>
      </c>
      <c r="K25" s="20">
        <f t="shared" si="6"/>
        <v>1515.2</v>
      </c>
      <c r="L25" s="20">
        <f t="shared" si="6"/>
        <v>1515.2</v>
      </c>
      <c r="M25" s="20">
        <f t="shared" si="6"/>
        <v>1515.2</v>
      </c>
      <c r="N25" s="20">
        <f t="shared" si="6"/>
        <v>1515.2</v>
      </c>
    </row>
    <row r="26" spans="1:14" s="1" customFormat="1" ht="31.5" x14ac:dyDescent="0.2">
      <c r="A26" s="96"/>
      <c r="B26" s="97"/>
      <c r="C26" s="95"/>
      <c r="D26" s="95"/>
      <c r="E26" s="57" t="s">
        <v>31</v>
      </c>
      <c r="F26" s="57" t="s">
        <v>27</v>
      </c>
      <c r="G26" s="63" t="s">
        <v>38</v>
      </c>
      <c r="H26" s="18">
        <f>SUM(I26:N26)</f>
        <v>9000</v>
      </c>
      <c r="I26" s="18">
        <f>1500</f>
        <v>1500</v>
      </c>
      <c r="J26" s="18">
        <v>1500</v>
      </c>
      <c r="K26" s="18">
        <v>1500</v>
      </c>
      <c r="L26" s="18">
        <v>1500</v>
      </c>
      <c r="M26" s="18">
        <v>1500</v>
      </c>
      <c r="N26" s="18">
        <v>1500</v>
      </c>
    </row>
    <row r="27" spans="1:14" s="1" customFormat="1" x14ac:dyDescent="0.2">
      <c r="A27" s="96"/>
      <c r="B27" s="97"/>
      <c r="C27" s="95"/>
      <c r="D27" s="95"/>
      <c r="E27" s="57"/>
      <c r="F27" s="57"/>
      <c r="G27" s="63" t="s">
        <v>55</v>
      </c>
      <c r="H27" s="18">
        <f>SUM(I27:N27)</f>
        <v>91.173730000000006</v>
      </c>
      <c r="I27" s="18">
        <f>15.17373</f>
        <v>15.173730000000001</v>
      </c>
      <c r="J27" s="18">
        <v>15.2</v>
      </c>
      <c r="K27" s="18">
        <v>15.2</v>
      </c>
      <c r="L27" s="18">
        <v>15.2</v>
      </c>
      <c r="M27" s="18">
        <v>15.2</v>
      </c>
      <c r="N27" s="18">
        <v>15.2</v>
      </c>
    </row>
    <row r="28" spans="1:14" s="1" customFormat="1" x14ac:dyDescent="0.2">
      <c r="A28" s="96"/>
      <c r="B28" s="97"/>
      <c r="C28" s="95"/>
      <c r="D28" s="113" t="s">
        <v>17</v>
      </c>
      <c r="E28" s="57"/>
      <c r="F28" s="57"/>
      <c r="G28" s="62" t="s">
        <v>56</v>
      </c>
      <c r="H28" s="39">
        <f>H29+H30</f>
        <v>42948.924420000003</v>
      </c>
      <c r="I28" s="39">
        <f t="shared" ref="I28:N28" si="7">I29+I30</f>
        <v>8100.4244200000003</v>
      </c>
      <c r="J28" s="20">
        <f t="shared" si="7"/>
        <v>6969.7</v>
      </c>
      <c r="K28" s="20">
        <f t="shared" si="7"/>
        <v>6969.7</v>
      </c>
      <c r="L28" s="20">
        <f t="shared" si="7"/>
        <v>6969.7</v>
      </c>
      <c r="M28" s="20">
        <f t="shared" si="7"/>
        <v>6969.7</v>
      </c>
      <c r="N28" s="20">
        <f t="shared" si="7"/>
        <v>6969.7</v>
      </c>
    </row>
    <row r="29" spans="1:14" s="1" customFormat="1" ht="31.5" x14ac:dyDescent="0.2">
      <c r="A29" s="96"/>
      <c r="B29" s="97"/>
      <c r="C29" s="95"/>
      <c r="D29" s="113"/>
      <c r="E29" s="61" t="s">
        <v>17</v>
      </c>
      <c r="F29" s="57" t="s">
        <v>27</v>
      </c>
      <c r="G29" s="63" t="s">
        <v>38</v>
      </c>
      <c r="H29" s="18">
        <f>SUM(I29:N29)</f>
        <v>42519.442170000002</v>
      </c>
      <c r="I29" s="18">
        <f>6900+1964.90119-152.45902-693</f>
        <v>8019.4421700000003</v>
      </c>
      <c r="J29" s="18">
        <v>6900</v>
      </c>
      <c r="K29" s="18">
        <v>6900</v>
      </c>
      <c r="L29" s="18">
        <v>6900</v>
      </c>
      <c r="M29" s="18">
        <v>6900</v>
      </c>
      <c r="N29" s="18">
        <v>6900</v>
      </c>
    </row>
    <row r="30" spans="1:14" s="1" customFormat="1" x14ac:dyDescent="0.2">
      <c r="A30" s="96"/>
      <c r="B30" s="97"/>
      <c r="C30" s="95"/>
      <c r="D30" s="113"/>
      <c r="E30" s="61"/>
      <c r="F30" s="57"/>
      <c r="G30" s="63" t="s">
        <v>55</v>
      </c>
      <c r="H30" s="18">
        <f>I30+J30+K30+L30+M30+N30</f>
        <v>429.48224999999996</v>
      </c>
      <c r="I30" s="18">
        <f>69.72893+19.79331-1.53999-7</f>
        <v>80.982250000000008</v>
      </c>
      <c r="J30" s="18">
        <v>69.7</v>
      </c>
      <c r="K30" s="18">
        <v>69.7</v>
      </c>
      <c r="L30" s="18">
        <v>69.7</v>
      </c>
      <c r="M30" s="18">
        <v>69.7</v>
      </c>
      <c r="N30" s="18">
        <v>69.7</v>
      </c>
    </row>
    <row r="31" spans="1:14" s="1" customFormat="1" ht="41.25" customHeight="1" x14ac:dyDescent="0.2">
      <c r="A31" s="96" t="s">
        <v>12</v>
      </c>
      <c r="B31" s="97" t="s">
        <v>130</v>
      </c>
      <c r="C31" s="97" t="s">
        <v>70</v>
      </c>
      <c r="D31" s="95" t="s">
        <v>71</v>
      </c>
      <c r="E31" s="61"/>
      <c r="F31" s="57"/>
      <c r="G31" s="62" t="s">
        <v>56</v>
      </c>
      <c r="H31" s="39">
        <f t="shared" ref="H31:N31" si="8">H32+H33</f>
        <v>2627931.3437000001</v>
      </c>
      <c r="I31" s="39">
        <f t="shared" si="8"/>
        <v>437997.34369999997</v>
      </c>
      <c r="J31" s="20">
        <f t="shared" si="8"/>
        <v>437986.8</v>
      </c>
      <c r="K31" s="20">
        <f t="shared" si="8"/>
        <v>437986.8</v>
      </c>
      <c r="L31" s="20">
        <f t="shared" si="8"/>
        <v>437986.8</v>
      </c>
      <c r="M31" s="20">
        <f t="shared" si="8"/>
        <v>437986.8</v>
      </c>
      <c r="N31" s="20">
        <f t="shared" si="8"/>
        <v>437986.8</v>
      </c>
    </row>
    <row r="32" spans="1:14" s="1" customFormat="1" ht="39.75" customHeight="1" x14ac:dyDescent="0.2">
      <c r="A32" s="96"/>
      <c r="B32" s="97"/>
      <c r="C32" s="97"/>
      <c r="D32" s="95"/>
      <c r="E32" s="57" t="s">
        <v>40</v>
      </c>
      <c r="F32" s="57" t="s">
        <v>28</v>
      </c>
      <c r="G32" s="63" t="s">
        <v>38</v>
      </c>
      <c r="H32" s="18">
        <f>SUM(I32:N32)</f>
        <v>2601640.2865200001</v>
      </c>
      <c r="I32" s="18">
        <f>I35+I38+I41+I44+I47+I50+I53</f>
        <v>433605.28651999997</v>
      </c>
      <c r="J32" s="18">
        <f t="shared" ref="J32:N32" si="9">J35+J38+J41+J44+J47+J50+J53</f>
        <v>433607</v>
      </c>
      <c r="K32" s="18">
        <f t="shared" si="9"/>
        <v>433607</v>
      </c>
      <c r="L32" s="18">
        <f t="shared" si="9"/>
        <v>433607</v>
      </c>
      <c r="M32" s="18">
        <f t="shared" si="9"/>
        <v>433607</v>
      </c>
      <c r="N32" s="18">
        <f t="shared" si="9"/>
        <v>433607</v>
      </c>
    </row>
    <row r="33" spans="1:14" s="1" customFormat="1" ht="28.5" customHeight="1" x14ac:dyDescent="0.2">
      <c r="A33" s="96"/>
      <c r="B33" s="97"/>
      <c r="C33" s="97"/>
      <c r="D33" s="95"/>
      <c r="E33" s="57"/>
      <c r="F33" s="57"/>
      <c r="G33" s="63" t="s">
        <v>55</v>
      </c>
      <c r="H33" s="18">
        <f>SUM(I33:N33)</f>
        <v>26291.057179999996</v>
      </c>
      <c r="I33" s="18">
        <f>I36+I39+I42+I45+I48+I51+I54</f>
        <v>4392.0571799999998</v>
      </c>
      <c r="J33" s="18">
        <f t="shared" ref="J33:N33" si="10">J36+J39+J42+J45+J48+J51+J54</f>
        <v>4379.7999999999993</v>
      </c>
      <c r="K33" s="18">
        <f t="shared" si="10"/>
        <v>4379.8</v>
      </c>
      <c r="L33" s="18">
        <f t="shared" si="10"/>
        <v>4379.8</v>
      </c>
      <c r="M33" s="18">
        <f t="shared" si="10"/>
        <v>4379.8</v>
      </c>
      <c r="N33" s="18">
        <f t="shared" si="10"/>
        <v>4379.8</v>
      </c>
    </row>
    <row r="34" spans="1:14" s="1" customFormat="1" ht="22.5" customHeight="1" x14ac:dyDescent="0.2">
      <c r="A34" s="96" t="s">
        <v>6</v>
      </c>
      <c r="B34" s="97" t="s">
        <v>72</v>
      </c>
      <c r="C34" s="97" t="s">
        <v>31</v>
      </c>
      <c r="D34" s="95" t="s">
        <v>17</v>
      </c>
      <c r="E34" s="57"/>
      <c r="F34" s="57"/>
      <c r="G34" s="62" t="s">
        <v>56</v>
      </c>
      <c r="H34" s="39">
        <f>H35+H36</f>
        <v>347083.64118999999</v>
      </c>
      <c r="I34" s="39">
        <f>I35+I36+0.1</f>
        <v>59139.241190000001</v>
      </c>
      <c r="J34" s="20">
        <f t="shared" ref="J34:N34" si="11">J35+J36</f>
        <v>57588.9</v>
      </c>
      <c r="K34" s="20">
        <f t="shared" si="11"/>
        <v>57588.9</v>
      </c>
      <c r="L34" s="20">
        <f t="shared" si="11"/>
        <v>57588.9</v>
      </c>
      <c r="M34" s="20">
        <f t="shared" si="11"/>
        <v>57588.9</v>
      </c>
      <c r="N34" s="20">
        <f t="shared" si="11"/>
        <v>57588.9</v>
      </c>
    </row>
    <row r="35" spans="1:14" s="1" customFormat="1" ht="27" customHeight="1" x14ac:dyDescent="0.2">
      <c r="A35" s="96"/>
      <c r="B35" s="97"/>
      <c r="C35" s="97"/>
      <c r="D35" s="95"/>
      <c r="E35" s="57" t="s">
        <v>17</v>
      </c>
      <c r="F35" s="57" t="s">
        <v>27</v>
      </c>
      <c r="G35" s="63" t="s">
        <v>38</v>
      </c>
      <c r="H35" s="18">
        <f>SUM(I35:N35)</f>
        <v>343600.65003999998</v>
      </c>
      <c r="I35" s="18">
        <f>57013-346.27596+1288.626+580.3</f>
        <v>58535.65004</v>
      </c>
      <c r="J35" s="18">
        <v>57013</v>
      </c>
      <c r="K35" s="18">
        <v>57013</v>
      </c>
      <c r="L35" s="18">
        <v>57013</v>
      </c>
      <c r="M35" s="18">
        <v>57013</v>
      </c>
      <c r="N35" s="18">
        <v>57013</v>
      </c>
    </row>
    <row r="36" spans="1:14" s="1" customFormat="1" x14ac:dyDescent="0.2">
      <c r="A36" s="96"/>
      <c r="B36" s="97"/>
      <c r="C36" s="97"/>
      <c r="D36" s="95"/>
      <c r="E36" s="57"/>
      <c r="F36" s="57"/>
      <c r="G36" s="63" t="s">
        <v>55</v>
      </c>
      <c r="H36" s="18">
        <f>SUM(I36:N36)</f>
        <v>3482.9911500000003</v>
      </c>
      <c r="I36" s="18">
        <f>575.87304-3.48189+25.2+5.9</f>
        <v>603.49114999999995</v>
      </c>
      <c r="J36" s="18">
        <v>575.9</v>
      </c>
      <c r="K36" s="18">
        <v>575.9</v>
      </c>
      <c r="L36" s="18">
        <v>575.9</v>
      </c>
      <c r="M36" s="18">
        <v>575.9</v>
      </c>
      <c r="N36" s="18">
        <v>575.9</v>
      </c>
    </row>
    <row r="37" spans="1:14" s="1" customFormat="1" x14ac:dyDescent="0.2">
      <c r="A37" s="96"/>
      <c r="B37" s="97"/>
      <c r="C37" s="97" t="s">
        <v>68</v>
      </c>
      <c r="D37" s="95" t="s">
        <v>22</v>
      </c>
      <c r="E37" s="57"/>
      <c r="F37" s="57"/>
      <c r="G37" s="62" t="s">
        <v>56</v>
      </c>
      <c r="H37" s="20">
        <f>H38+H39</f>
        <v>4879.3582500000002</v>
      </c>
      <c r="I37" s="20">
        <f t="shared" ref="I37:N37" si="12">I38+I39</f>
        <v>319.35825</v>
      </c>
      <c r="J37" s="20">
        <f t="shared" si="12"/>
        <v>912</v>
      </c>
      <c r="K37" s="20">
        <f t="shared" si="12"/>
        <v>912</v>
      </c>
      <c r="L37" s="20">
        <f t="shared" si="12"/>
        <v>912</v>
      </c>
      <c r="M37" s="20">
        <f t="shared" si="12"/>
        <v>912</v>
      </c>
      <c r="N37" s="20">
        <f t="shared" si="12"/>
        <v>912</v>
      </c>
    </row>
    <row r="38" spans="1:14" s="1" customFormat="1" ht="31.5" x14ac:dyDescent="0.2">
      <c r="A38" s="96"/>
      <c r="B38" s="97"/>
      <c r="C38" s="97"/>
      <c r="D38" s="95"/>
      <c r="E38" s="57" t="s">
        <v>22</v>
      </c>
      <c r="F38" s="57" t="s">
        <v>0</v>
      </c>
      <c r="G38" s="63" t="s">
        <v>38</v>
      </c>
      <c r="H38" s="18">
        <f>SUM(I38:N38)</f>
        <v>4831.1646700000001</v>
      </c>
      <c r="I38" s="18">
        <f>903-586.83533</f>
        <v>316.16467</v>
      </c>
      <c r="J38" s="18">
        <v>903</v>
      </c>
      <c r="K38" s="18">
        <v>903</v>
      </c>
      <c r="L38" s="18">
        <v>903</v>
      </c>
      <c r="M38" s="18">
        <v>903</v>
      </c>
      <c r="N38" s="18">
        <v>903</v>
      </c>
    </row>
    <row r="39" spans="1:14" s="1" customFormat="1" x14ac:dyDescent="0.2">
      <c r="A39" s="96"/>
      <c r="B39" s="97"/>
      <c r="C39" s="97"/>
      <c r="D39" s="95"/>
      <c r="E39" s="57"/>
      <c r="F39" s="57"/>
      <c r="G39" s="63" t="s">
        <v>55</v>
      </c>
      <c r="H39" s="18">
        <f>SUM(I39:N39)</f>
        <v>48.193579999999997</v>
      </c>
      <c r="I39" s="18">
        <f>9.1-5.90642</f>
        <v>3.1935799999999999</v>
      </c>
      <c r="J39" s="18">
        <v>9</v>
      </c>
      <c r="K39" s="18">
        <v>9</v>
      </c>
      <c r="L39" s="18">
        <v>9</v>
      </c>
      <c r="M39" s="18">
        <v>9</v>
      </c>
      <c r="N39" s="18">
        <v>9</v>
      </c>
    </row>
    <row r="40" spans="1:14" s="1" customFormat="1" ht="30" customHeight="1" x14ac:dyDescent="0.2">
      <c r="A40" s="96" t="s">
        <v>7</v>
      </c>
      <c r="B40" s="97" t="s">
        <v>73</v>
      </c>
      <c r="C40" s="97" t="s">
        <v>31</v>
      </c>
      <c r="D40" s="95" t="s">
        <v>31</v>
      </c>
      <c r="E40" s="57"/>
      <c r="F40" s="57"/>
      <c r="G40" s="62" t="s">
        <v>56</v>
      </c>
      <c r="H40" s="39">
        <f>H41+H42</f>
        <v>322620.19696999999</v>
      </c>
      <c r="I40" s="39">
        <f t="shared" ref="I40:N40" si="13">I41+I42</f>
        <v>54569.696969999997</v>
      </c>
      <c r="J40" s="20">
        <f t="shared" si="13"/>
        <v>53610.1</v>
      </c>
      <c r="K40" s="20">
        <f t="shared" si="13"/>
        <v>53610.1</v>
      </c>
      <c r="L40" s="20">
        <f t="shared" si="13"/>
        <v>53610.1</v>
      </c>
      <c r="M40" s="20">
        <f t="shared" si="13"/>
        <v>53610.1</v>
      </c>
      <c r="N40" s="20">
        <f t="shared" si="13"/>
        <v>53610.1</v>
      </c>
    </row>
    <row r="41" spans="1:14" s="1" customFormat="1" ht="28.5" customHeight="1" x14ac:dyDescent="0.2">
      <c r="A41" s="96"/>
      <c r="B41" s="97"/>
      <c r="C41" s="97"/>
      <c r="D41" s="95"/>
      <c r="E41" s="57" t="s">
        <v>31</v>
      </c>
      <c r="F41" s="57" t="s">
        <v>27</v>
      </c>
      <c r="G41" s="63" t="s">
        <v>38</v>
      </c>
      <c r="H41" s="18">
        <f>SUM(I41:N41)</f>
        <v>319394</v>
      </c>
      <c r="I41" s="18">
        <f>49074+4950</f>
        <v>54024</v>
      </c>
      <c r="J41" s="18">
        <v>53074</v>
      </c>
      <c r="K41" s="18">
        <v>53074</v>
      </c>
      <c r="L41" s="18">
        <v>53074</v>
      </c>
      <c r="M41" s="18">
        <v>53074</v>
      </c>
      <c r="N41" s="18">
        <v>53074</v>
      </c>
    </row>
    <row r="42" spans="1:14" s="1" customFormat="1" ht="18.75" customHeight="1" x14ac:dyDescent="0.2">
      <c r="A42" s="96"/>
      <c r="B42" s="97"/>
      <c r="C42" s="97"/>
      <c r="D42" s="95"/>
      <c r="E42" s="57"/>
      <c r="F42" s="57"/>
      <c r="G42" s="63" t="s">
        <v>55</v>
      </c>
      <c r="H42" s="18">
        <f>SUM(I42:N42)</f>
        <v>3226.1969699999995</v>
      </c>
      <c r="I42" s="18">
        <f>495.72627+49.9707</f>
        <v>545.69696999999996</v>
      </c>
      <c r="J42" s="18">
        <v>536.1</v>
      </c>
      <c r="K42" s="18">
        <v>536.1</v>
      </c>
      <c r="L42" s="18">
        <v>536.1</v>
      </c>
      <c r="M42" s="18">
        <v>536.1</v>
      </c>
      <c r="N42" s="18">
        <v>536.1</v>
      </c>
    </row>
    <row r="43" spans="1:14" s="1" customFormat="1" ht="27" customHeight="1" x14ac:dyDescent="0.2">
      <c r="A43" s="118" t="s">
        <v>8</v>
      </c>
      <c r="B43" s="111" t="s">
        <v>74</v>
      </c>
      <c r="C43" s="97" t="s">
        <v>31</v>
      </c>
      <c r="D43" s="95" t="s">
        <v>17</v>
      </c>
      <c r="E43" s="57"/>
      <c r="F43" s="57"/>
      <c r="G43" s="62" t="s">
        <v>56</v>
      </c>
      <c r="H43" s="20">
        <f>H44+H45</f>
        <v>76529.278780000008</v>
      </c>
      <c r="I43" s="20">
        <f t="shared" ref="I43:N43" si="14">I44+I45</f>
        <v>1851.3787799999998</v>
      </c>
      <c r="J43" s="20">
        <f t="shared" si="14"/>
        <v>5732.3</v>
      </c>
      <c r="K43" s="20">
        <f t="shared" si="14"/>
        <v>17236.400000000001</v>
      </c>
      <c r="L43" s="20">
        <f t="shared" si="14"/>
        <v>17236.400000000001</v>
      </c>
      <c r="M43" s="20">
        <f t="shared" si="14"/>
        <v>17236.400000000001</v>
      </c>
      <c r="N43" s="20">
        <f t="shared" si="14"/>
        <v>17236.400000000001</v>
      </c>
    </row>
    <row r="44" spans="1:14" s="1" customFormat="1" ht="36" customHeight="1" x14ac:dyDescent="0.2">
      <c r="A44" s="119"/>
      <c r="B44" s="112"/>
      <c r="C44" s="97"/>
      <c r="D44" s="95"/>
      <c r="E44" s="57" t="s">
        <v>17</v>
      </c>
      <c r="F44" s="57" t="s">
        <v>27</v>
      </c>
      <c r="G44" s="63" t="s">
        <v>38</v>
      </c>
      <c r="H44" s="18">
        <f>SUM(I44:N44)</f>
        <v>75763.847990000009</v>
      </c>
      <c r="I44" s="18">
        <f>6206-4361.55201-11.6</f>
        <v>1832.8479899999998</v>
      </c>
      <c r="J44" s="18">
        <v>5675</v>
      </c>
      <c r="K44" s="18">
        <v>17064</v>
      </c>
      <c r="L44" s="18">
        <v>17064</v>
      </c>
      <c r="M44" s="18">
        <v>17064</v>
      </c>
      <c r="N44" s="18">
        <v>17064</v>
      </c>
    </row>
    <row r="45" spans="1:14" s="1" customFormat="1" x14ac:dyDescent="0.2">
      <c r="A45" s="119"/>
      <c r="B45" s="112"/>
      <c r="C45" s="97"/>
      <c r="D45" s="95"/>
      <c r="E45" s="57"/>
      <c r="F45" s="57"/>
      <c r="G45" s="63" t="s">
        <v>55</v>
      </c>
      <c r="H45" s="18">
        <f>SUM(I45:N45)</f>
        <v>765.43079</v>
      </c>
      <c r="I45" s="18">
        <f>62.67706-44.04627-0.1</f>
        <v>18.530789999999996</v>
      </c>
      <c r="J45" s="18">
        <v>57.3</v>
      </c>
      <c r="K45" s="18">
        <v>172.4</v>
      </c>
      <c r="L45" s="18">
        <v>172.4</v>
      </c>
      <c r="M45" s="18">
        <v>172.4</v>
      </c>
      <c r="N45" s="18">
        <v>172.4</v>
      </c>
    </row>
    <row r="46" spans="1:14" s="1" customFormat="1" ht="27" customHeight="1" x14ac:dyDescent="0.2">
      <c r="A46" s="96" t="s">
        <v>9</v>
      </c>
      <c r="B46" s="97" t="s">
        <v>75</v>
      </c>
      <c r="C46" s="97" t="s">
        <v>31</v>
      </c>
      <c r="D46" s="95" t="s">
        <v>17</v>
      </c>
      <c r="E46" s="57"/>
      <c r="F46" s="57"/>
      <c r="G46" s="62" t="s">
        <v>56</v>
      </c>
      <c r="H46" s="39">
        <f>H47+H48</f>
        <v>274162.22823999997</v>
      </c>
      <c r="I46" s="39">
        <f t="shared" ref="I46:N46" si="15">I47+I48</f>
        <v>36707.728239999997</v>
      </c>
      <c r="J46" s="20">
        <f t="shared" si="15"/>
        <v>47490.9</v>
      </c>
      <c r="K46" s="20">
        <f t="shared" si="15"/>
        <v>47490.9</v>
      </c>
      <c r="L46" s="20">
        <f t="shared" si="15"/>
        <v>47490.9</v>
      </c>
      <c r="M46" s="20">
        <f t="shared" si="15"/>
        <v>47490.9</v>
      </c>
      <c r="N46" s="20">
        <f t="shared" si="15"/>
        <v>47490.9</v>
      </c>
    </row>
    <row r="47" spans="1:14" s="1" customFormat="1" ht="38.25" customHeight="1" x14ac:dyDescent="0.2">
      <c r="A47" s="96"/>
      <c r="B47" s="97"/>
      <c r="C47" s="97"/>
      <c r="D47" s="95"/>
      <c r="E47" s="57" t="s">
        <v>17</v>
      </c>
      <c r="F47" s="57" t="s">
        <v>27</v>
      </c>
      <c r="G47" s="63" t="s">
        <v>38</v>
      </c>
      <c r="H47" s="18">
        <f>SUM(I47:N47)</f>
        <v>271420.70595999999</v>
      </c>
      <c r="I47" s="18">
        <f>41585-5277.53661-91.05743+124.3</f>
        <v>36340.705959999999</v>
      </c>
      <c r="J47" s="18">
        <v>47016</v>
      </c>
      <c r="K47" s="18">
        <v>47016</v>
      </c>
      <c r="L47" s="18">
        <v>47016</v>
      </c>
      <c r="M47" s="18">
        <v>47016</v>
      </c>
      <c r="N47" s="18">
        <v>47016</v>
      </c>
    </row>
    <row r="48" spans="1:14" s="1" customFormat="1" ht="29.25" customHeight="1" x14ac:dyDescent="0.2">
      <c r="A48" s="96"/>
      <c r="B48" s="97"/>
      <c r="C48" s="97"/>
      <c r="D48" s="95"/>
      <c r="E48" s="57"/>
      <c r="F48" s="57"/>
      <c r="G48" s="63" t="s">
        <v>55</v>
      </c>
      <c r="H48" s="18">
        <f>SUM(I48:N48)</f>
        <v>2741.5222800000001</v>
      </c>
      <c r="I48" s="18">
        <f>420.02097-53.27892-0.91977+1.2</f>
        <v>367.02227999999991</v>
      </c>
      <c r="J48" s="18">
        <v>474.9</v>
      </c>
      <c r="K48" s="18">
        <v>474.9</v>
      </c>
      <c r="L48" s="18">
        <v>474.9</v>
      </c>
      <c r="M48" s="18">
        <v>474.9</v>
      </c>
      <c r="N48" s="18">
        <v>474.9</v>
      </c>
    </row>
    <row r="49" spans="1:15" ht="32.25" customHeight="1" x14ac:dyDescent="0.2">
      <c r="A49" s="96" t="s">
        <v>51</v>
      </c>
      <c r="B49" s="97" t="s">
        <v>37</v>
      </c>
      <c r="C49" s="97" t="s">
        <v>31</v>
      </c>
      <c r="D49" s="95" t="s">
        <v>17</v>
      </c>
      <c r="E49" s="57"/>
      <c r="F49" s="57"/>
      <c r="G49" s="62" t="s">
        <v>56</v>
      </c>
      <c r="H49" s="39">
        <f>H50+H51</f>
        <v>1305686.6402699999</v>
      </c>
      <c r="I49" s="39">
        <f t="shared" ref="I49:N49" si="16">I50+I51</f>
        <v>235915.04027</v>
      </c>
      <c r="J49" s="20">
        <f t="shared" si="16"/>
        <v>223157.6</v>
      </c>
      <c r="K49" s="20">
        <f t="shared" si="16"/>
        <v>211653.5</v>
      </c>
      <c r="L49" s="20">
        <f t="shared" si="16"/>
        <v>211653.5</v>
      </c>
      <c r="M49" s="20">
        <f t="shared" si="16"/>
        <v>211653.5</v>
      </c>
      <c r="N49" s="20">
        <f t="shared" si="16"/>
        <v>211653.5</v>
      </c>
    </row>
    <row r="50" spans="1:15" ht="42.75" customHeight="1" x14ac:dyDescent="0.2">
      <c r="A50" s="96"/>
      <c r="B50" s="97"/>
      <c r="C50" s="97"/>
      <c r="D50" s="95"/>
      <c r="E50" s="57" t="s">
        <v>17</v>
      </c>
      <c r="F50" s="57" t="s">
        <v>27</v>
      </c>
      <c r="G50" s="63" t="s">
        <v>38</v>
      </c>
      <c r="H50" s="18">
        <f>SUM(I50:N50)</f>
        <v>1292629.9178599999</v>
      </c>
      <c r="I50" s="21">
        <f>229634+3070.46339+607.93802+243.51645</f>
        <v>233555.91785999999</v>
      </c>
      <c r="J50" s="18">
        <v>220926</v>
      </c>
      <c r="K50" s="18">
        <v>209537</v>
      </c>
      <c r="L50" s="18">
        <v>209537</v>
      </c>
      <c r="M50" s="18">
        <v>209537</v>
      </c>
      <c r="N50" s="18">
        <v>209537</v>
      </c>
    </row>
    <row r="51" spans="1:15" ht="24" customHeight="1" x14ac:dyDescent="0.2">
      <c r="A51" s="96"/>
      <c r="B51" s="97"/>
      <c r="C51" s="97"/>
      <c r="D51" s="95"/>
      <c r="E51" s="57"/>
      <c r="F51" s="57"/>
      <c r="G51" s="63" t="s">
        <v>55</v>
      </c>
      <c r="H51" s="18">
        <f>SUM(I51:N51)</f>
        <v>13056.72241</v>
      </c>
      <c r="I51" s="21">
        <f>2319.5+31.04307+6.11958+2.45976</f>
        <v>2359.1224100000004</v>
      </c>
      <c r="J51" s="21">
        <v>2231.6</v>
      </c>
      <c r="K51" s="21">
        <v>2116.5</v>
      </c>
      <c r="L51" s="21">
        <v>2116.5</v>
      </c>
      <c r="M51" s="21">
        <v>2116.5</v>
      </c>
      <c r="N51" s="21">
        <v>2116.5</v>
      </c>
    </row>
    <row r="52" spans="1:15" ht="23.25" customHeight="1" x14ac:dyDescent="0.2">
      <c r="A52" s="118" t="s">
        <v>54</v>
      </c>
      <c r="B52" s="111" t="s">
        <v>66</v>
      </c>
      <c r="C52" s="111" t="s">
        <v>32</v>
      </c>
      <c r="D52" s="122" t="s">
        <v>30</v>
      </c>
      <c r="E52" s="57"/>
      <c r="F52" s="57"/>
      <c r="G52" s="62" t="s">
        <v>56</v>
      </c>
      <c r="H52" s="39">
        <f>H53+H54</f>
        <v>296970</v>
      </c>
      <c r="I52" s="39">
        <f t="shared" ref="I52:N52" si="17">I53+I54</f>
        <v>49495</v>
      </c>
      <c r="J52" s="39">
        <f t="shared" si="17"/>
        <v>49495</v>
      </c>
      <c r="K52" s="39">
        <f t="shared" si="17"/>
        <v>49495</v>
      </c>
      <c r="L52" s="39">
        <f t="shared" si="17"/>
        <v>49495</v>
      </c>
      <c r="M52" s="39">
        <f t="shared" si="17"/>
        <v>49495</v>
      </c>
      <c r="N52" s="39">
        <f t="shared" si="17"/>
        <v>49495</v>
      </c>
    </row>
    <row r="53" spans="1:15" ht="31.5" x14ac:dyDescent="0.2">
      <c r="A53" s="119"/>
      <c r="B53" s="112"/>
      <c r="C53" s="112"/>
      <c r="D53" s="123"/>
      <c r="E53" s="57" t="s">
        <v>30</v>
      </c>
      <c r="F53" s="57" t="s">
        <v>29</v>
      </c>
      <c r="G53" s="63" t="s">
        <v>38</v>
      </c>
      <c r="H53" s="18">
        <f>SUM(I53:N53)</f>
        <v>294000</v>
      </c>
      <c r="I53" s="18">
        <v>49000</v>
      </c>
      <c r="J53" s="18">
        <v>49000</v>
      </c>
      <c r="K53" s="18">
        <v>49000</v>
      </c>
      <c r="L53" s="18">
        <v>49000</v>
      </c>
      <c r="M53" s="18">
        <v>49000</v>
      </c>
      <c r="N53" s="18">
        <v>49000</v>
      </c>
    </row>
    <row r="54" spans="1:15" x14ac:dyDescent="0.2">
      <c r="A54" s="120"/>
      <c r="B54" s="121"/>
      <c r="C54" s="121"/>
      <c r="D54" s="124"/>
      <c r="E54" s="57"/>
      <c r="F54" s="57"/>
      <c r="G54" s="63" t="s">
        <v>55</v>
      </c>
      <c r="H54" s="18">
        <f>SUM(I54:N54)</f>
        <v>2970</v>
      </c>
      <c r="I54" s="18">
        <v>495</v>
      </c>
      <c r="J54" s="18">
        <v>495</v>
      </c>
      <c r="K54" s="18">
        <v>495</v>
      </c>
      <c r="L54" s="18">
        <v>495</v>
      </c>
      <c r="M54" s="18">
        <v>495</v>
      </c>
      <c r="N54" s="18">
        <v>495</v>
      </c>
    </row>
    <row r="55" spans="1:15" x14ac:dyDescent="0.2">
      <c r="A55" s="91" t="s">
        <v>77</v>
      </c>
      <c r="B55" s="92"/>
      <c r="C55" s="92"/>
      <c r="D55" s="92"/>
      <c r="E55" s="92"/>
      <c r="F55" s="92"/>
      <c r="G55" s="93"/>
      <c r="H55" s="39">
        <f>H56+H57</f>
        <v>2714566.6418500002</v>
      </c>
      <c r="I55" s="39">
        <f t="shared" ref="I55:N55" si="18">I56+I57</f>
        <v>452445.64184999996</v>
      </c>
      <c r="J55" s="20">
        <f t="shared" si="18"/>
        <v>452424.2</v>
      </c>
      <c r="K55" s="20">
        <f t="shared" si="18"/>
        <v>452424.2</v>
      </c>
      <c r="L55" s="20">
        <f t="shared" si="18"/>
        <v>452424.2</v>
      </c>
      <c r="M55" s="20">
        <f t="shared" si="18"/>
        <v>452424.2</v>
      </c>
      <c r="N55" s="20">
        <f t="shared" si="18"/>
        <v>452424.2</v>
      </c>
    </row>
    <row r="56" spans="1:15" x14ac:dyDescent="0.2">
      <c r="A56" s="91" t="s">
        <v>57</v>
      </c>
      <c r="B56" s="92"/>
      <c r="C56" s="92"/>
      <c r="D56" s="92"/>
      <c r="E56" s="92"/>
      <c r="F56" s="92"/>
      <c r="G56" s="93"/>
      <c r="H56" s="18">
        <f>H11+H32</f>
        <v>2687421.1286900002</v>
      </c>
      <c r="I56" s="18">
        <f t="shared" ref="I56:N56" si="19">I11+I32</f>
        <v>447921.12868999998</v>
      </c>
      <c r="J56" s="18">
        <f t="shared" si="19"/>
        <v>447900</v>
      </c>
      <c r="K56" s="18">
        <f t="shared" si="19"/>
        <v>447900</v>
      </c>
      <c r="L56" s="18">
        <f t="shared" si="19"/>
        <v>447900</v>
      </c>
      <c r="M56" s="18">
        <f t="shared" si="19"/>
        <v>447900</v>
      </c>
      <c r="N56" s="18">
        <f t="shared" si="19"/>
        <v>447900</v>
      </c>
    </row>
    <row r="57" spans="1:15" ht="19.5" customHeight="1" x14ac:dyDescent="0.2">
      <c r="A57" s="91" t="s">
        <v>55</v>
      </c>
      <c r="B57" s="92"/>
      <c r="C57" s="92"/>
      <c r="D57" s="92"/>
      <c r="E57" s="92"/>
      <c r="F57" s="92"/>
      <c r="G57" s="93"/>
      <c r="H57" s="18">
        <f>H12+H33</f>
        <v>27145.513159999995</v>
      </c>
      <c r="I57" s="18">
        <f t="shared" ref="I57:N57" si="20">I12+I33</f>
        <v>4524.5131599999995</v>
      </c>
      <c r="J57" s="18">
        <f t="shared" si="20"/>
        <v>4524.1999999999989</v>
      </c>
      <c r="K57" s="18">
        <f t="shared" si="20"/>
        <v>4524.2</v>
      </c>
      <c r="L57" s="18">
        <f t="shared" si="20"/>
        <v>4524.2</v>
      </c>
      <c r="M57" s="18">
        <f t="shared" si="20"/>
        <v>4524.2</v>
      </c>
      <c r="N57" s="18">
        <f t="shared" si="20"/>
        <v>4524.2</v>
      </c>
    </row>
    <row r="58" spans="1:15" s="4" customFormat="1" ht="30" customHeight="1" x14ac:dyDescent="0.25">
      <c r="A58" s="115" t="s">
        <v>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7"/>
      <c r="O58" s="3"/>
    </row>
    <row r="59" spans="1:15" s="4" customFormat="1" ht="47.25" customHeight="1" x14ac:dyDescent="0.25">
      <c r="A59" s="96" t="s">
        <v>46</v>
      </c>
      <c r="B59" s="90" t="s">
        <v>18</v>
      </c>
      <c r="C59" s="88" t="s">
        <v>68</v>
      </c>
      <c r="D59" s="90" t="s">
        <v>76</v>
      </c>
      <c r="E59" s="16"/>
      <c r="F59" s="16"/>
      <c r="G59" s="15" t="s">
        <v>56</v>
      </c>
      <c r="H59" s="38">
        <f>H60+H61</f>
        <v>12706.48415</v>
      </c>
      <c r="I59" s="68">
        <f t="shared" ref="I59:N59" si="21">I60+I61</f>
        <v>2099.9841499999998</v>
      </c>
      <c r="J59" s="38">
        <f t="shared" si="21"/>
        <v>2121.3000000000002</v>
      </c>
      <c r="K59" s="38">
        <f t="shared" si="21"/>
        <v>2121.3000000000002</v>
      </c>
      <c r="L59" s="38">
        <f t="shared" si="21"/>
        <v>2121.3000000000002</v>
      </c>
      <c r="M59" s="38">
        <f t="shared" si="21"/>
        <v>2121.3000000000002</v>
      </c>
      <c r="N59" s="38">
        <f t="shared" si="21"/>
        <v>2121.3000000000002</v>
      </c>
      <c r="O59" s="3"/>
    </row>
    <row r="60" spans="1:15" ht="49.5" customHeight="1" x14ac:dyDescent="0.2">
      <c r="A60" s="96"/>
      <c r="B60" s="90"/>
      <c r="C60" s="114"/>
      <c r="D60" s="90"/>
      <c r="E60" s="55" t="s">
        <v>41</v>
      </c>
      <c r="F60" s="57" t="s">
        <v>0</v>
      </c>
      <c r="G60" s="63" t="s">
        <v>38</v>
      </c>
      <c r="H60" s="18">
        <f>SUM(I60:N60)</f>
        <v>12578.89731</v>
      </c>
      <c r="I60" s="18">
        <f>2100-21.10269</f>
        <v>2078.8973099999998</v>
      </c>
      <c r="J60" s="18">
        <v>2100</v>
      </c>
      <c r="K60" s="18">
        <v>2100</v>
      </c>
      <c r="L60" s="18">
        <v>2100</v>
      </c>
      <c r="M60" s="18">
        <v>2100</v>
      </c>
      <c r="N60" s="18">
        <v>2100</v>
      </c>
    </row>
    <row r="61" spans="1:15" ht="31.5" customHeight="1" x14ac:dyDescent="0.2">
      <c r="A61" s="96"/>
      <c r="B61" s="90"/>
      <c r="C61" s="89"/>
      <c r="D61" s="90"/>
      <c r="E61" s="55"/>
      <c r="F61" s="57"/>
      <c r="G61" s="63" t="s">
        <v>55</v>
      </c>
      <c r="H61" s="18">
        <f>SUM(I61:N61)</f>
        <v>127.58684</v>
      </c>
      <c r="I61" s="18">
        <f>21.3-0.21316</f>
        <v>21.086840000000002</v>
      </c>
      <c r="J61" s="18">
        <v>21.3</v>
      </c>
      <c r="K61" s="18">
        <v>21.3</v>
      </c>
      <c r="L61" s="18">
        <v>21.3</v>
      </c>
      <c r="M61" s="18">
        <v>21.3</v>
      </c>
      <c r="N61" s="18">
        <v>21.3</v>
      </c>
    </row>
    <row r="62" spans="1:15" hidden="1" x14ac:dyDescent="0.2">
      <c r="A62" s="125" t="s">
        <v>78</v>
      </c>
      <c r="B62" s="126"/>
      <c r="C62" s="126"/>
      <c r="D62" s="126"/>
      <c r="E62" s="126"/>
      <c r="F62" s="126"/>
      <c r="G62" s="127"/>
      <c r="H62" s="20">
        <f>H59</f>
        <v>12706.48415</v>
      </c>
      <c r="I62" s="20">
        <f t="shared" ref="I62:N62" si="22">I59</f>
        <v>2099.9841499999998</v>
      </c>
      <c r="J62" s="20">
        <f t="shared" si="22"/>
        <v>2121.3000000000002</v>
      </c>
      <c r="K62" s="20">
        <f t="shared" si="22"/>
        <v>2121.3000000000002</v>
      </c>
      <c r="L62" s="20">
        <f t="shared" si="22"/>
        <v>2121.3000000000002</v>
      </c>
      <c r="M62" s="20">
        <f t="shared" si="22"/>
        <v>2121.3000000000002</v>
      </c>
      <c r="N62" s="20">
        <f t="shared" si="22"/>
        <v>2121.3000000000002</v>
      </c>
    </row>
    <row r="63" spans="1:15" hidden="1" x14ac:dyDescent="0.2">
      <c r="A63" s="128" t="s">
        <v>57</v>
      </c>
      <c r="B63" s="129"/>
      <c r="C63" s="129"/>
      <c r="D63" s="129"/>
      <c r="E63" s="129"/>
      <c r="F63" s="129"/>
      <c r="G63" s="130"/>
      <c r="H63" s="18">
        <f>H60</f>
        <v>12578.89731</v>
      </c>
      <c r="I63" s="18">
        <f t="shared" ref="I63:N63" si="23">I60</f>
        <v>2078.8973099999998</v>
      </c>
      <c r="J63" s="18">
        <f t="shared" si="23"/>
        <v>2100</v>
      </c>
      <c r="K63" s="18">
        <f t="shared" si="23"/>
        <v>2100</v>
      </c>
      <c r="L63" s="18">
        <f t="shared" si="23"/>
        <v>2100</v>
      </c>
      <c r="M63" s="18">
        <f t="shared" si="23"/>
        <v>2100</v>
      </c>
      <c r="N63" s="18">
        <f t="shared" si="23"/>
        <v>2100</v>
      </c>
    </row>
    <row r="64" spans="1:15" hidden="1" x14ac:dyDescent="0.2">
      <c r="A64" s="109" t="s">
        <v>55</v>
      </c>
      <c r="B64" s="109"/>
      <c r="C64" s="109"/>
      <c r="D64" s="109"/>
      <c r="E64" s="109"/>
      <c r="F64" s="109"/>
      <c r="G64" s="109"/>
      <c r="H64" s="18">
        <f>H61</f>
        <v>127.58684</v>
      </c>
      <c r="I64" s="18">
        <f t="shared" ref="I64:N64" si="24">I61</f>
        <v>21.086840000000002</v>
      </c>
      <c r="J64" s="18">
        <f t="shared" si="24"/>
        <v>21.3</v>
      </c>
      <c r="K64" s="18">
        <f t="shared" si="24"/>
        <v>21.3</v>
      </c>
      <c r="L64" s="18">
        <f t="shared" si="24"/>
        <v>21.3</v>
      </c>
      <c r="M64" s="18">
        <f t="shared" si="24"/>
        <v>21.3</v>
      </c>
      <c r="N64" s="18">
        <f t="shared" si="24"/>
        <v>21.3</v>
      </c>
    </row>
    <row r="65" spans="1:14" s="1" customFormat="1" x14ac:dyDescent="0.2">
      <c r="A65" s="109" t="s">
        <v>3</v>
      </c>
      <c r="B65" s="109"/>
      <c r="C65" s="109"/>
      <c r="D65" s="109"/>
      <c r="E65" s="109"/>
      <c r="F65" s="109"/>
      <c r="G65" s="109"/>
      <c r="H65" s="39">
        <f>SUM(I65:N65)</f>
        <v>2727273.1260000002</v>
      </c>
      <c r="I65" s="39">
        <f t="shared" ref="I65:N65" si="25">I66+I67</f>
        <v>454545.62599999993</v>
      </c>
      <c r="J65" s="20">
        <f t="shared" si="25"/>
        <v>454545.5</v>
      </c>
      <c r="K65" s="20">
        <f t="shared" si="25"/>
        <v>454545.5</v>
      </c>
      <c r="L65" s="20">
        <f t="shared" si="25"/>
        <v>454545.5</v>
      </c>
      <c r="M65" s="20">
        <f t="shared" si="25"/>
        <v>454545.5</v>
      </c>
      <c r="N65" s="20">
        <f t="shared" si="25"/>
        <v>454545.5</v>
      </c>
    </row>
    <row r="66" spans="1:14" s="1" customFormat="1" x14ac:dyDescent="0.2">
      <c r="A66" s="109" t="s">
        <v>57</v>
      </c>
      <c r="B66" s="109"/>
      <c r="C66" s="109"/>
      <c r="D66" s="109"/>
      <c r="E66" s="109"/>
      <c r="F66" s="109"/>
      <c r="G66" s="109"/>
      <c r="H66" s="39">
        <f>SUM(I66:N66)</f>
        <v>2700000.0260000001</v>
      </c>
      <c r="I66" s="39">
        <f t="shared" ref="I66:N67" si="26">I11+I32+I60</f>
        <v>450000.02599999995</v>
      </c>
      <c r="J66" s="20">
        <f t="shared" si="26"/>
        <v>450000</v>
      </c>
      <c r="K66" s="20">
        <f t="shared" si="26"/>
        <v>450000</v>
      </c>
      <c r="L66" s="20">
        <f t="shared" si="26"/>
        <v>450000</v>
      </c>
      <c r="M66" s="20">
        <f t="shared" si="26"/>
        <v>450000</v>
      </c>
      <c r="N66" s="20">
        <f t="shared" si="26"/>
        <v>450000</v>
      </c>
    </row>
    <row r="67" spans="1:14" s="1" customFormat="1" x14ac:dyDescent="0.2">
      <c r="A67" s="109" t="s">
        <v>55</v>
      </c>
      <c r="B67" s="109"/>
      <c r="C67" s="109"/>
      <c r="D67" s="109"/>
      <c r="E67" s="109"/>
      <c r="F67" s="109"/>
      <c r="G67" s="109"/>
      <c r="H67" s="20">
        <f>SUM(I67:N67)</f>
        <v>27273.1</v>
      </c>
      <c r="I67" s="20">
        <f t="shared" si="26"/>
        <v>4545.5999999999995</v>
      </c>
      <c r="J67" s="20">
        <f t="shared" si="26"/>
        <v>4545.4999999999991</v>
      </c>
      <c r="K67" s="20">
        <f t="shared" si="26"/>
        <v>4545.5</v>
      </c>
      <c r="L67" s="20">
        <f t="shared" si="26"/>
        <v>4545.5</v>
      </c>
      <c r="M67" s="20">
        <f t="shared" si="26"/>
        <v>4545.5</v>
      </c>
      <c r="N67" s="20">
        <f t="shared" si="26"/>
        <v>4545.5</v>
      </c>
    </row>
    <row r="68" spans="1:14" s="1" customFormat="1" x14ac:dyDescent="0.2">
      <c r="A68" s="5"/>
      <c r="B68" s="6"/>
      <c r="C68" s="6"/>
      <c r="D68" s="6"/>
      <c r="E68" s="6"/>
      <c r="F68" s="6"/>
      <c r="G68" s="7"/>
      <c r="H68" s="31"/>
      <c r="I68" s="31">
        <v>450000</v>
      </c>
      <c r="J68" s="31"/>
      <c r="K68" s="31"/>
      <c r="L68" s="31"/>
      <c r="M68" s="31"/>
      <c r="N68" s="31"/>
    </row>
    <row r="69" spans="1:14" s="1" customFormat="1" x14ac:dyDescent="0.2">
      <c r="A69" s="5"/>
      <c r="B69" s="6"/>
      <c r="C69" s="6"/>
      <c r="D69" s="6"/>
      <c r="E69" s="6"/>
      <c r="F69" s="6"/>
      <c r="G69" s="7"/>
      <c r="H69" s="6"/>
      <c r="I69" s="17">
        <v>4545.6000000000004</v>
      </c>
      <c r="J69" s="17">
        <f>J25+J28+J34+J40+J43+J46+J49</f>
        <v>396064.7</v>
      </c>
      <c r="K69" s="17"/>
      <c r="L69" s="17"/>
      <c r="M69" s="17"/>
      <c r="N69" s="17"/>
    </row>
    <row r="70" spans="1:14" s="1" customFormat="1" x14ac:dyDescent="0.2">
      <c r="A70" s="5"/>
      <c r="B70" s="6"/>
      <c r="C70" s="6"/>
      <c r="D70" s="6"/>
      <c r="E70" s="110"/>
      <c r="F70" s="110"/>
      <c r="G70" s="110"/>
      <c r="H70" s="10"/>
      <c r="I70" s="10"/>
      <c r="J70" s="10"/>
      <c r="K70" s="10"/>
      <c r="L70" s="10"/>
      <c r="M70" s="10"/>
      <c r="N70" s="10"/>
    </row>
    <row r="71" spans="1:14" s="1" customFormat="1" ht="29.25" customHeight="1" x14ac:dyDescent="0.2">
      <c r="A71" s="5"/>
      <c r="B71" s="6"/>
      <c r="C71" s="6"/>
      <c r="D71" s="132" t="s">
        <v>0</v>
      </c>
      <c r="E71" s="15" t="s">
        <v>56</v>
      </c>
      <c r="F71" s="15" t="s">
        <v>56</v>
      </c>
      <c r="G71" s="15" t="s">
        <v>56</v>
      </c>
      <c r="H71" s="22">
        <f t="shared" ref="H71:N73" si="27">H19</f>
        <v>2495</v>
      </c>
      <c r="I71" s="22">
        <f t="shared" si="27"/>
        <v>0</v>
      </c>
      <c r="J71" s="22">
        <f t="shared" si="27"/>
        <v>499</v>
      </c>
      <c r="K71" s="22">
        <f t="shared" si="27"/>
        <v>499</v>
      </c>
      <c r="L71" s="22">
        <f t="shared" si="27"/>
        <v>499</v>
      </c>
      <c r="M71" s="22">
        <f t="shared" si="27"/>
        <v>499</v>
      </c>
      <c r="N71" s="22">
        <f t="shared" si="27"/>
        <v>499</v>
      </c>
    </row>
    <row r="72" spans="1:14" s="1" customFormat="1" ht="29.25" customHeight="1" x14ac:dyDescent="0.2">
      <c r="A72" s="5"/>
      <c r="B72" s="6"/>
      <c r="C72" s="6"/>
      <c r="D72" s="132"/>
      <c r="E72" s="63" t="s">
        <v>38</v>
      </c>
      <c r="F72" s="63" t="s">
        <v>38</v>
      </c>
      <c r="G72" s="63" t="s">
        <v>38</v>
      </c>
      <c r="H72" s="22">
        <f t="shared" si="27"/>
        <v>2470</v>
      </c>
      <c r="I72" s="22">
        <f t="shared" si="27"/>
        <v>0</v>
      </c>
      <c r="J72" s="22">
        <f t="shared" si="27"/>
        <v>494</v>
      </c>
      <c r="K72" s="22">
        <f t="shared" si="27"/>
        <v>494</v>
      </c>
      <c r="L72" s="22">
        <f t="shared" si="27"/>
        <v>494</v>
      </c>
      <c r="M72" s="22">
        <f t="shared" si="27"/>
        <v>494</v>
      </c>
      <c r="N72" s="22">
        <f t="shared" si="27"/>
        <v>494</v>
      </c>
    </row>
    <row r="73" spans="1:14" s="1" customFormat="1" ht="29.25" customHeight="1" x14ac:dyDescent="0.2">
      <c r="A73" s="5"/>
      <c r="B73" s="6"/>
      <c r="C73" s="6"/>
      <c r="D73" s="132"/>
      <c r="E73" s="63" t="s">
        <v>55</v>
      </c>
      <c r="F73" s="63" t="s">
        <v>55</v>
      </c>
      <c r="G73" s="63" t="s">
        <v>55</v>
      </c>
      <c r="H73" s="22">
        <f t="shared" si="27"/>
        <v>25</v>
      </c>
      <c r="I73" s="22">
        <f t="shared" si="27"/>
        <v>0</v>
      </c>
      <c r="J73" s="22">
        <f t="shared" si="27"/>
        <v>5</v>
      </c>
      <c r="K73" s="22">
        <f t="shared" si="27"/>
        <v>5</v>
      </c>
      <c r="L73" s="22">
        <f t="shared" si="27"/>
        <v>5</v>
      </c>
      <c r="M73" s="22">
        <f t="shared" si="27"/>
        <v>5</v>
      </c>
      <c r="N73" s="22">
        <f t="shared" si="27"/>
        <v>5</v>
      </c>
    </row>
    <row r="74" spans="1:14" s="1" customFormat="1" ht="24.75" customHeight="1" x14ac:dyDescent="0.2">
      <c r="A74" s="5"/>
      <c r="B74" s="6"/>
      <c r="C74" s="6"/>
      <c r="D74" s="132" t="s">
        <v>61</v>
      </c>
      <c r="E74" s="15" t="s">
        <v>56</v>
      </c>
      <c r="F74" s="15" t="s">
        <v>56</v>
      </c>
      <c r="G74" s="15" t="s">
        <v>56</v>
      </c>
      <c r="H74" s="22">
        <f t="shared" ref="H74:N76" si="28">H13+H37</f>
        <v>24576.15825</v>
      </c>
      <c r="I74" s="22">
        <f t="shared" si="28"/>
        <v>3602.1582500000004</v>
      </c>
      <c r="J74" s="22">
        <f t="shared" si="28"/>
        <v>4194.8</v>
      </c>
      <c r="K74" s="22">
        <f t="shared" si="28"/>
        <v>4194.8</v>
      </c>
      <c r="L74" s="22">
        <f t="shared" si="28"/>
        <v>4194.8</v>
      </c>
      <c r="M74" s="22">
        <f t="shared" si="28"/>
        <v>4194.8</v>
      </c>
      <c r="N74" s="22">
        <f t="shared" si="28"/>
        <v>4194.8</v>
      </c>
    </row>
    <row r="75" spans="1:14" s="1" customFormat="1" ht="30" customHeight="1" x14ac:dyDescent="0.2">
      <c r="A75" s="5"/>
      <c r="B75" s="6"/>
      <c r="C75" s="6"/>
      <c r="D75" s="132"/>
      <c r="E75" s="63" t="s">
        <v>38</v>
      </c>
      <c r="F75" s="63" t="s">
        <v>38</v>
      </c>
      <c r="G75" s="63" t="s">
        <v>38</v>
      </c>
      <c r="H75" s="22">
        <f t="shared" si="28"/>
        <v>24331.164669999998</v>
      </c>
      <c r="I75" s="22">
        <f t="shared" si="28"/>
        <v>3566.1646700000001</v>
      </c>
      <c r="J75" s="22">
        <f t="shared" si="28"/>
        <v>4153</v>
      </c>
      <c r="K75" s="22">
        <f t="shared" si="28"/>
        <v>4153</v>
      </c>
      <c r="L75" s="22">
        <f t="shared" si="28"/>
        <v>4153</v>
      </c>
      <c r="M75" s="22">
        <f t="shared" si="28"/>
        <v>4153</v>
      </c>
      <c r="N75" s="22">
        <f t="shared" si="28"/>
        <v>4153</v>
      </c>
    </row>
    <row r="76" spans="1:14" s="1" customFormat="1" ht="27.75" customHeight="1" x14ac:dyDescent="0.2">
      <c r="A76" s="5"/>
      <c r="B76" s="6"/>
      <c r="C76" s="6"/>
      <c r="D76" s="132"/>
      <c r="E76" s="63" t="s">
        <v>55</v>
      </c>
      <c r="F76" s="63" t="s">
        <v>55</v>
      </c>
      <c r="G76" s="63" t="s">
        <v>55</v>
      </c>
      <c r="H76" s="22">
        <f t="shared" si="28"/>
        <v>244.99358000000001</v>
      </c>
      <c r="I76" s="22">
        <f t="shared" si="28"/>
        <v>35.993579999999994</v>
      </c>
      <c r="J76" s="22">
        <f t="shared" si="28"/>
        <v>41.8</v>
      </c>
      <c r="K76" s="22">
        <f t="shared" si="28"/>
        <v>41.8</v>
      </c>
      <c r="L76" s="22">
        <f t="shared" si="28"/>
        <v>41.8</v>
      </c>
      <c r="M76" s="22">
        <f t="shared" si="28"/>
        <v>41.8</v>
      </c>
      <c r="N76" s="22">
        <f t="shared" si="28"/>
        <v>41.8</v>
      </c>
    </row>
    <row r="77" spans="1:14" s="1" customFormat="1" ht="24.75" customHeight="1" x14ac:dyDescent="0.2">
      <c r="A77" s="5"/>
      <c r="B77" s="6"/>
      <c r="C77" s="6"/>
      <c r="D77" s="132" t="s">
        <v>62</v>
      </c>
      <c r="E77" s="15" t="s">
        <v>56</v>
      </c>
      <c r="F77" s="15" t="s">
        <v>56</v>
      </c>
      <c r="G77" s="15" t="s">
        <v>56</v>
      </c>
      <c r="H77" s="23">
        <f t="shared" ref="H77:N79" si="29">H59</f>
        <v>12706.48415</v>
      </c>
      <c r="I77" s="23">
        <f t="shared" si="29"/>
        <v>2099.9841499999998</v>
      </c>
      <c r="J77" s="23">
        <f t="shared" si="29"/>
        <v>2121.3000000000002</v>
      </c>
      <c r="K77" s="23">
        <f t="shared" si="29"/>
        <v>2121.3000000000002</v>
      </c>
      <c r="L77" s="23">
        <f t="shared" si="29"/>
        <v>2121.3000000000002</v>
      </c>
      <c r="M77" s="23">
        <f t="shared" si="29"/>
        <v>2121.3000000000002</v>
      </c>
      <c r="N77" s="23">
        <f t="shared" si="29"/>
        <v>2121.3000000000002</v>
      </c>
    </row>
    <row r="78" spans="1:14" s="1" customFormat="1" ht="24.75" customHeight="1" x14ac:dyDescent="0.2">
      <c r="A78" s="5"/>
      <c r="B78" s="6"/>
      <c r="C78" s="6"/>
      <c r="D78" s="132"/>
      <c r="E78" s="63" t="s">
        <v>38</v>
      </c>
      <c r="F78" s="63" t="s">
        <v>38</v>
      </c>
      <c r="G78" s="63" t="s">
        <v>38</v>
      </c>
      <c r="H78" s="23">
        <f t="shared" si="29"/>
        <v>12578.89731</v>
      </c>
      <c r="I78" s="23">
        <f t="shared" si="29"/>
        <v>2078.8973099999998</v>
      </c>
      <c r="J78" s="23">
        <f t="shared" si="29"/>
        <v>2100</v>
      </c>
      <c r="K78" s="23">
        <f t="shared" si="29"/>
        <v>2100</v>
      </c>
      <c r="L78" s="23">
        <f t="shared" si="29"/>
        <v>2100</v>
      </c>
      <c r="M78" s="23">
        <f t="shared" si="29"/>
        <v>2100</v>
      </c>
      <c r="N78" s="23">
        <f t="shared" si="29"/>
        <v>2100</v>
      </c>
    </row>
    <row r="79" spans="1:14" s="1" customFormat="1" ht="24.75" customHeight="1" x14ac:dyDescent="0.2">
      <c r="A79" s="5"/>
      <c r="B79" s="6"/>
      <c r="C79" s="6"/>
      <c r="D79" s="132"/>
      <c r="E79" s="63" t="s">
        <v>55</v>
      </c>
      <c r="F79" s="63" t="s">
        <v>55</v>
      </c>
      <c r="G79" s="63" t="s">
        <v>55</v>
      </c>
      <c r="H79" s="23">
        <f t="shared" si="29"/>
        <v>127.58684</v>
      </c>
      <c r="I79" s="23">
        <f t="shared" si="29"/>
        <v>21.086840000000002</v>
      </c>
      <c r="J79" s="23">
        <f t="shared" si="29"/>
        <v>21.3</v>
      </c>
      <c r="K79" s="23">
        <f t="shared" si="29"/>
        <v>21.3</v>
      </c>
      <c r="L79" s="23">
        <f t="shared" si="29"/>
        <v>21.3</v>
      </c>
      <c r="M79" s="23">
        <f t="shared" si="29"/>
        <v>21.3</v>
      </c>
      <c r="N79" s="23">
        <f t="shared" si="29"/>
        <v>21.3</v>
      </c>
    </row>
    <row r="80" spans="1:14" s="1" customFormat="1" ht="22.5" customHeight="1" x14ac:dyDescent="0.2">
      <c r="A80" s="5"/>
      <c r="B80" s="6"/>
      <c r="C80" s="6"/>
      <c r="D80" s="131" t="s">
        <v>63</v>
      </c>
      <c r="E80" s="15" t="s">
        <v>56</v>
      </c>
      <c r="F80" s="15" t="s">
        <v>56</v>
      </c>
      <c r="G80" s="15" t="s">
        <v>56</v>
      </c>
      <c r="H80" s="23">
        <f>H81+H82</f>
        <v>39777.642399999997</v>
      </c>
      <c r="I80" s="23">
        <f t="shared" ref="I80:N80" si="30">I81+I82</f>
        <v>5702.1424000000006</v>
      </c>
      <c r="J80" s="23">
        <f t="shared" si="30"/>
        <v>6815.1</v>
      </c>
      <c r="K80" s="23">
        <f t="shared" si="30"/>
        <v>6815.1</v>
      </c>
      <c r="L80" s="23">
        <f t="shared" si="30"/>
        <v>6815.1</v>
      </c>
      <c r="M80" s="23">
        <f t="shared" si="30"/>
        <v>6815.1</v>
      </c>
      <c r="N80" s="23">
        <f t="shared" si="30"/>
        <v>6815.1</v>
      </c>
    </row>
    <row r="81" spans="1:14" s="1" customFormat="1" ht="30" customHeight="1" x14ac:dyDescent="0.2">
      <c r="A81" s="5"/>
      <c r="B81" s="6"/>
      <c r="C81" s="6"/>
      <c r="D81" s="131"/>
      <c r="E81" s="63" t="s">
        <v>38</v>
      </c>
      <c r="F81" s="63" t="s">
        <v>38</v>
      </c>
      <c r="G81" s="63" t="s">
        <v>38</v>
      </c>
      <c r="H81" s="23">
        <f>I81+J81+K81+L81+M81+N81</f>
        <v>39380.061979999999</v>
      </c>
      <c r="I81" s="23">
        <f t="shared" ref="I81:N82" si="31">I72+I75+I78</f>
        <v>5645.0619800000004</v>
      </c>
      <c r="J81" s="23">
        <f t="shared" si="31"/>
        <v>6747</v>
      </c>
      <c r="K81" s="23">
        <f t="shared" si="31"/>
        <v>6747</v>
      </c>
      <c r="L81" s="23">
        <f t="shared" si="31"/>
        <v>6747</v>
      </c>
      <c r="M81" s="23">
        <f t="shared" si="31"/>
        <v>6747</v>
      </c>
      <c r="N81" s="23">
        <f t="shared" si="31"/>
        <v>6747</v>
      </c>
    </row>
    <row r="82" spans="1:14" s="1" customFormat="1" ht="16.5" customHeight="1" x14ac:dyDescent="0.2">
      <c r="A82" s="5"/>
      <c r="B82" s="6"/>
      <c r="C82" s="6"/>
      <c r="D82" s="131"/>
      <c r="E82" s="63" t="s">
        <v>55</v>
      </c>
      <c r="F82" s="63" t="s">
        <v>55</v>
      </c>
      <c r="G82" s="63" t="s">
        <v>55</v>
      </c>
      <c r="H82" s="23">
        <f>I82+J82+K82+L82+M82+N82</f>
        <v>397.58042</v>
      </c>
      <c r="I82" s="23">
        <f t="shared" si="31"/>
        <v>57.080419999999997</v>
      </c>
      <c r="J82" s="23">
        <f t="shared" si="31"/>
        <v>68.099999999999994</v>
      </c>
      <c r="K82" s="23">
        <f t="shared" si="31"/>
        <v>68.099999999999994</v>
      </c>
      <c r="L82" s="23">
        <f t="shared" si="31"/>
        <v>68.099999999999994</v>
      </c>
      <c r="M82" s="23">
        <f t="shared" si="31"/>
        <v>68.099999999999994</v>
      </c>
      <c r="N82" s="23">
        <f t="shared" si="31"/>
        <v>68.099999999999994</v>
      </c>
    </row>
    <row r="83" spans="1:14" s="1" customFormat="1" ht="18" customHeight="1" x14ac:dyDescent="0.2">
      <c r="A83" s="5"/>
      <c r="B83" s="6"/>
      <c r="C83" s="6"/>
      <c r="D83" s="131" t="s">
        <v>64</v>
      </c>
      <c r="E83" s="15" t="s">
        <v>56</v>
      </c>
      <c r="F83" s="15" t="s">
        <v>56</v>
      </c>
      <c r="G83" s="15" t="s">
        <v>56</v>
      </c>
      <c r="H83" s="23">
        <f t="shared" ref="H83:N85" si="32">H16</f>
        <v>1097</v>
      </c>
      <c r="I83" s="23">
        <f t="shared" si="32"/>
        <v>344.5</v>
      </c>
      <c r="J83" s="23">
        <f t="shared" si="32"/>
        <v>150.5</v>
      </c>
      <c r="K83" s="23">
        <f t="shared" si="32"/>
        <v>150.5</v>
      </c>
      <c r="L83" s="23">
        <f t="shared" si="32"/>
        <v>150.5</v>
      </c>
      <c r="M83" s="23">
        <f t="shared" si="32"/>
        <v>150.5</v>
      </c>
      <c r="N83" s="23">
        <f t="shared" si="32"/>
        <v>150.5</v>
      </c>
    </row>
    <row r="84" spans="1:14" s="1" customFormat="1" ht="26.25" customHeight="1" x14ac:dyDescent="0.2">
      <c r="A84" s="5"/>
      <c r="B84" s="6"/>
      <c r="C84" s="6"/>
      <c r="D84" s="131"/>
      <c r="E84" s="63" t="s">
        <v>38</v>
      </c>
      <c r="F84" s="63" t="s">
        <v>38</v>
      </c>
      <c r="G84" s="63" t="s">
        <v>38</v>
      </c>
      <c r="H84" s="23">
        <f t="shared" si="32"/>
        <v>1086</v>
      </c>
      <c r="I84" s="23">
        <f t="shared" si="32"/>
        <v>341</v>
      </c>
      <c r="J84" s="23">
        <f t="shared" si="32"/>
        <v>149</v>
      </c>
      <c r="K84" s="23">
        <f t="shared" si="32"/>
        <v>149</v>
      </c>
      <c r="L84" s="23">
        <f t="shared" si="32"/>
        <v>149</v>
      </c>
      <c r="M84" s="23">
        <f t="shared" si="32"/>
        <v>149</v>
      </c>
      <c r="N84" s="23">
        <f t="shared" si="32"/>
        <v>149</v>
      </c>
    </row>
    <row r="85" spans="1:14" s="1" customFormat="1" ht="22.5" customHeight="1" x14ac:dyDescent="0.2">
      <c r="A85" s="5"/>
      <c r="B85" s="6"/>
      <c r="C85" s="6"/>
      <c r="D85" s="131"/>
      <c r="E85" s="63" t="s">
        <v>55</v>
      </c>
      <c r="F85" s="63" t="s">
        <v>55</v>
      </c>
      <c r="G85" s="63" t="s">
        <v>55</v>
      </c>
      <c r="H85" s="23">
        <f t="shared" si="32"/>
        <v>11</v>
      </c>
      <c r="I85" s="23">
        <f t="shared" si="32"/>
        <v>3.5</v>
      </c>
      <c r="J85" s="23">
        <f t="shared" si="32"/>
        <v>1.5</v>
      </c>
      <c r="K85" s="23">
        <f t="shared" si="32"/>
        <v>1.5</v>
      </c>
      <c r="L85" s="23">
        <f t="shared" si="32"/>
        <v>1.5</v>
      </c>
      <c r="M85" s="23">
        <f t="shared" si="32"/>
        <v>1.5</v>
      </c>
      <c r="N85" s="23">
        <f t="shared" si="32"/>
        <v>1.5</v>
      </c>
    </row>
    <row r="86" spans="1:14" s="1" customFormat="1" ht="21.75" customHeight="1" x14ac:dyDescent="0.2">
      <c r="A86" s="5"/>
      <c r="B86" s="6"/>
      <c r="C86" s="6"/>
      <c r="D86" s="131" t="s">
        <v>20</v>
      </c>
      <c r="E86" s="15" t="s">
        <v>56</v>
      </c>
      <c r="F86" s="15" t="s">
        <v>56</v>
      </c>
      <c r="G86" s="15" t="s">
        <v>56</v>
      </c>
      <c r="H86" s="23">
        <f t="shared" ref="H86:N88" si="33">H22</f>
        <v>11306.4</v>
      </c>
      <c r="I86" s="23">
        <f t="shared" si="33"/>
        <v>1205.4000000000001</v>
      </c>
      <c r="J86" s="23">
        <f t="shared" si="33"/>
        <v>2020.2</v>
      </c>
      <c r="K86" s="23">
        <f t="shared" si="33"/>
        <v>2020.2</v>
      </c>
      <c r="L86" s="23">
        <f t="shared" si="33"/>
        <v>2020.2</v>
      </c>
      <c r="M86" s="23">
        <f t="shared" si="33"/>
        <v>2020.2</v>
      </c>
      <c r="N86" s="23">
        <f t="shared" si="33"/>
        <v>2020.2</v>
      </c>
    </row>
    <row r="87" spans="1:14" s="1" customFormat="1" ht="25.5" customHeight="1" x14ac:dyDescent="0.2">
      <c r="A87" s="5"/>
      <c r="B87" s="6"/>
      <c r="C87" s="6"/>
      <c r="D87" s="131"/>
      <c r="E87" s="63" t="s">
        <v>38</v>
      </c>
      <c r="F87" s="63" t="s">
        <v>38</v>
      </c>
      <c r="G87" s="63" t="s">
        <v>38</v>
      </c>
      <c r="H87" s="23">
        <f t="shared" si="33"/>
        <v>11205.4</v>
      </c>
      <c r="I87" s="23">
        <f t="shared" si="33"/>
        <v>1205.4000000000001</v>
      </c>
      <c r="J87" s="23">
        <f t="shared" si="33"/>
        <v>2000</v>
      </c>
      <c r="K87" s="23">
        <f t="shared" si="33"/>
        <v>2000</v>
      </c>
      <c r="L87" s="23">
        <f t="shared" si="33"/>
        <v>2000</v>
      </c>
      <c r="M87" s="23">
        <f t="shared" si="33"/>
        <v>2000</v>
      </c>
      <c r="N87" s="23">
        <f t="shared" si="33"/>
        <v>2000</v>
      </c>
    </row>
    <row r="88" spans="1:14" s="1" customFormat="1" ht="20.25" customHeight="1" x14ac:dyDescent="0.2">
      <c r="A88" s="5"/>
      <c r="B88" s="6"/>
      <c r="C88" s="6"/>
      <c r="D88" s="131"/>
      <c r="E88" s="63" t="s">
        <v>55</v>
      </c>
      <c r="F88" s="63" t="s">
        <v>55</v>
      </c>
      <c r="G88" s="63" t="s">
        <v>55</v>
      </c>
      <c r="H88" s="23">
        <f t="shared" si="33"/>
        <v>101</v>
      </c>
      <c r="I88" s="23">
        <f t="shared" si="33"/>
        <v>0</v>
      </c>
      <c r="J88" s="23">
        <f t="shared" si="33"/>
        <v>20.2</v>
      </c>
      <c r="K88" s="23">
        <f t="shared" si="33"/>
        <v>20.2</v>
      </c>
      <c r="L88" s="23">
        <f t="shared" si="33"/>
        <v>20.2</v>
      </c>
      <c r="M88" s="23">
        <f t="shared" si="33"/>
        <v>20.2</v>
      </c>
      <c r="N88" s="23">
        <f t="shared" si="33"/>
        <v>20.2</v>
      </c>
    </row>
    <row r="89" spans="1:14" s="1" customFormat="1" ht="22.5" customHeight="1" x14ac:dyDescent="0.2">
      <c r="A89" s="5"/>
      <c r="B89" s="6"/>
      <c r="C89" s="6"/>
      <c r="D89" s="131" t="s">
        <v>31</v>
      </c>
      <c r="E89" s="15" t="s">
        <v>56</v>
      </c>
      <c r="F89" s="15" t="s">
        <v>56</v>
      </c>
      <c r="G89" s="15" t="s">
        <v>56</v>
      </c>
      <c r="H89" s="23">
        <f t="shared" ref="H89:N91" si="34">H25+H28+H34+H40+H43+H46+H49</f>
        <v>2378122.0836</v>
      </c>
      <c r="I89" s="23">
        <f t="shared" si="34"/>
        <v>397798.68359999999</v>
      </c>
      <c r="J89" s="23">
        <f t="shared" si="34"/>
        <v>396064.7</v>
      </c>
      <c r="K89" s="23">
        <f t="shared" si="34"/>
        <v>396064.69999999995</v>
      </c>
      <c r="L89" s="23">
        <f t="shared" si="34"/>
        <v>396064.69999999995</v>
      </c>
      <c r="M89" s="23">
        <f t="shared" si="34"/>
        <v>396064.69999999995</v>
      </c>
      <c r="N89" s="23">
        <f t="shared" si="34"/>
        <v>396064.69999999995</v>
      </c>
    </row>
    <row r="90" spans="1:14" s="1" customFormat="1" ht="26.25" customHeight="1" x14ac:dyDescent="0.2">
      <c r="A90" s="5"/>
      <c r="B90" s="6"/>
      <c r="C90" s="6"/>
      <c r="D90" s="131"/>
      <c r="E90" s="63" t="s">
        <v>38</v>
      </c>
      <c r="F90" s="63" t="s">
        <v>38</v>
      </c>
      <c r="G90" s="63" t="s">
        <v>38</v>
      </c>
      <c r="H90" s="23">
        <f t="shared" si="34"/>
        <v>2354328.5640199999</v>
      </c>
      <c r="I90" s="23">
        <f t="shared" si="34"/>
        <v>393808.56401999999</v>
      </c>
      <c r="J90" s="23">
        <f t="shared" si="34"/>
        <v>392104</v>
      </c>
      <c r="K90" s="23">
        <f t="shared" si="34"/>
        <v>392104</v>
      </c>
      <c r="L90" s="23">
        <f t="shared" si="34"/>
        <v>392104</v>
      </c>
      <c r="M90" s="23">
        <f t="shared" si="34"/>
        <v>392104</v>
      </c>
      <c r="N90" s="23">
        <f t="shared" si="34"/>
        <v>392104</v>
      </c>
    </row>
    <row r="91" spans="1:14" s="1" customFormat="1" ht="21.75" customHeight="1" x14ac:dyDescent="0.2">
      <c r="A91" s="5"/>
      <c r="B91" s="6"/>
      <c r="C91" s="6"/>
      <c r="D91" s="131"/>
      <c r="E91" s="63" t="s">
        <v>55</v>
      </c>
      <c r="F91" s="63" t="s">
        <v>55</v>
      </c>
      <c r="G91" s="63" t="s">
        <v>55</v>
      </c>
      <c r="H91" s="23">
        <f t="shared" si="34"/>
        <v>23793.51958</v>
      </c>
      <c r="I91" s="23">
        <f t="shared" si="34"/>
        <v>3990.0195800000001</v>
      </c>
      <c r="J91" s="23">
        <f t="shared" si="34"/>
        <v>3960.7</v>
      </c>
      <c r="K91" s="23">
        <f t="shared" si="34"/>
        <v>3960.7000000000003</v>
      </c>
      <c r="L91" s="23">
        <f t="shared" si="34"/>
        <v>3960.7000000000003</v>
      </c>
      <c r="M91" s="23">
        <f t="shared" si="34"/>
        <v>3960.7000000000003</v>
      </c>
      <c r="N91" s="23">
        <f t="shared" si="34"/>
        <v>3960.7000000000003</v>
      </c>
    </row>
    <row r="92" spans="1:14" s="1" customFormat="1" ht="26.25" customHeight="1" x14ac:dyDescent="0.2">
      <c r="A92" s="5"/>
      <c r="B92" s="6"/>
      <c r="C92" s="6"/>
      <c r="D92" s="131" t="s">
        <v>65</v>
      </c>
      <c r="E92" s="15" t="s">
        <v>56</v>
      </c>
      <c r="F92" s="15" t="s">
        <v>56</v>
      </c>
      <c r="G92" s="15" t="s">
        <v>56</v>
      </c>
      <c r="H92" s="23" t="e">
        <f>#REF!</f>
        <v>#REF!</v>
      </c>
      <c r="I92" s="23" t="e">
        <f>#REF!</f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</row>
    <row r="93" spans="1:14" s="1" customFormat="1" ht="35.25" customHeight="1" x14ac:dyDescent="0.2">
      <c r="A93" s="5"/>
      <c r="B93" s="6"/>
      <c r="C93" s="6"/>
      <c r="D93" s="131"/>
      <c r="E93" s="63" t="s">
        <v>38</v>
      </c>
      <c r="F93" s="63" t="s">
        <v>38</v>
      </c>
      <c r="G93" s="63" t="s">
        <v>38</v>
      </c>
      <c r="H93" s="23" t="e">
        <f>#REF!</f>
        <v>#REF!</v>
      </c>
      <c r="I93" s="23" t="e">
        <f>#REF!+I53</f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</row>
    <row r="94" spans="1:14" s="1" customFormat="1" ht="30" customHeight="1" x14ac:dyDescent="0.2">
      <c r="A94" s="5"/>
      <c r="B94" s="6"/>
      <c r="C94" s="6"/>
      <c r="D94" s="131"/>
      <c r="E94" s="63" t="s">
        <v>55</v>
      </c>
      <c r="F94" s="63" t="s">
        <v>55</v>
      </c>
      <c r="G94" s="63" t="s">
        <v>55</v>
      </c>
      <c r="H94" s="23" t="e">
        <f>#REF!</f>
        <v>#REF!</v>
      </c>
      <c r="I94" s="23" t="e">
        <f>#REF!</f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</row>
    <row r="95" spans="1:14" s="1" customFormat="1" ht="26.25" customHeight="1" x14ac:dyDescent="0.2">
      <c r="A95" s="5"/>
      <c r="B95" s="6"/>
      <c r="C95" s="6"/>
      <c r="D95" s="132" t="s">
        <v>1</v>
      </c>
      <c r="E95" s="15" t="s">
        <v>56</v>
      </c>
      <c r="F95" s="15" t="s">
        <v>56</v>
      </c>
      <c r="G95" s="15" t="s">
        <v>56</v>
      </c>
      <c r="H95" s="22" t="e">
        <f>H96+H97</f>
        <v>#REF!</v>
      </c>
      <c r="I95" s="22" t="e">
        <f t="shared" ref="I95:N95" si="35">I96+I97</f>
        <v>#REF!</v>
      </c>
      <c r="J95" s="22" t="e">
        <f t="shared" si="35"/>
        <v>#REF!</v>
      </c>
      <c r="K95" s="22" t="e">
        <f t="shared" si="35"/>
        <v>#REF!</v>
      </c>
      <c r="L95" s="22" t="e">
        <f t="shared" si="35"/>
        <v>#REF!</v>
      </c>
      <c r="M95" s="22" t="e">
        <f t="shared" si="35"/>
        <v>#REF!</v>
      </c>
      <c r="N95" s="22" t="e">
        <f t="shared" si="35"/>
        <v>#REF!</v>
      </c>
    </row>
    <row r="96" spans="1:14" s="1" customFormat="1" ht="33" customHeight="1" x14ac:dyDescent="0.2">
      <c r="A96" s="5"/>
      <c r="B96" s="6"/>
      <c r="C96" s="6"/>
      <c r="D96" s="132"/>
      <c r="E96" s="63" t="s">
        <v>38</v>
      </c>
      <c r="F96" s="63" t="s">
        <v>38</v>
      </c>
      <c r="G96" s="63" t="s">
        <v>38</v>
      </c>
      <c r="H96" s="22" t="e">
        <f t="shared" ref="H96:N96" si="36">H81+H84+H87+H90+H93</f>
        <v>#REF!</v>
      </c>
      <c r="I96" s="22" t="e">
        <f t="shared" si="36"/>
        <v>#REF!</v>
      </c>
      <c r="J96" s="22" t="e">
        <f t="shared" si="36"/>
        <v>#REF!</v>
      </c>
      <c r="K96" s="22" t="e">
        <f t="shared" si="36"/>
        <v>#REF!</v>
      </c>
      <c r="L96" s="22" t="e">
        <f t="shared" si="36"/>
        <v>#REF!</v>
      </c>
      <c r="M96" s="22" t="e">
        <f t="shared" si="36"/>
        <v>#REF!</v>
      </c>
      <c r="N96" s="22" t="e">
        <f t="shared" si="36"/>
        <v>#REF!</v>
      </c>
    </row>
    <row r="97" spans="1:14" s="1" customFormat="1" ht="24.75" customHeight="1" x14ac:dyDescent="0.2">
      <c r="A97" s="5"/>
      <c r="B97" s="6"/>
      <c r="C97" s="6"/>
      <c r="D97" s="132"/>
      <c r="E97" s="63" t="s">
        <v>55</v>
      </c>
      <c r="F97" s="63" t="s">
        <v>55</v>
      </c>
      <c r="G97" s="63" t="s">
        <v>55</v>
      </c>
      <c r="H97" s="22" t="e">
        <f>H82+H85+H88+H91+H94</f>
        <v>#REF!</v>
      </c>
      <c r="I97" s="22" t="e">
        <f t="shared" ref="I97:N97" si="37">I82+I85+I88+I91+I94</f>
        <v>#REF!</v>
      </c>
      <c r="J97" s="22" t="e">
        <f t="shared" si="37"/>
        <v>#REF!</v>
      </c>
      <c r="K97" s="22" t="e">
        <f t="shared" si="37"/>
        <v>#REF!</v>
      </c>
      <c r="L97" s="22" t="e">
        <f t="shared" si="37"/>
        <v>#REF!</v>
      </c>
      <c r="M97" s="22" t="e">
        <f t="shared" si="37"/>
        <v>#REF!</v>
      </c>
      <c r="N97" s="22" t="e">
        <f t="shared" si="37"/>
        <v>#REF!</v>
      </c>
    </row>
    <row r="98" spans="1:14" s="1" customFormat="1" x14ac:dyDescent="0.2">
      <c r="A98" s="5"/>
      <c r="B98" s="6"/>
      <c r="C98" s="6"/>
      <c r="D98" s="6"/>
      <c r="E98" s="6"/>
      <c r="F98" s="6"/>
      <c r="G98" s="7"/>
      <c r="H98" s="6"/>
      <c r="I98" s="6"/>
      <c r="J98" s="6"/>
      <c r="K98" s="6"/>
      <c r="L98" s="6"/>
      <c r="M98" s="6"/>
      <c r="N98" s="6"/>
    </row>
    <row r="99" spans="1:14" s="1" customFormat="1" x14ac:dyDescent="0.2">
      <c r="A99" s="5"/>
      <c r="B99" s="6"/>
      <c r="C99" s="6"/>
      <c r="D99" s="6"/>
      <c r="E99" s="6"/>
      <c r="F99" s="6"/>
      <c r="G99" s="7"/>
      <c r="H99" s="6"/>
      <c r="I99" s="6"/>
      <c r="J99" s="6"/>
      <c r="K99" s="6"/>
      <c r="L99" s="6"/>
      <c r="M99" s="6"/>
      <c r="N99" s="6"/>
    </row>
    <row r="100" spans="1:14" s="1" customFormat="1" x14ac:dyDescent="0.2">
      <c r="A100" s="5"/>
      <c r="B100" s="6"/>
      <c r="C100" s="6"/>
      <c r="D100" s="6"/>
      <c r="E100" s="6"/>
      <c r="F100" s="6"/>
      <c r="G100" s="7"/>
      <c r="H100" s="6"/>
      <c r="I100" s="6"/>
      <c r="J100" s="6"/>
      <c r="K100" s="6"/>
      <c r="L100" s="6"/>
      <c r="M100" s="6"/>
      <c r="N100" s="6"/>
    </row>
    <row r="101" spans="1:14" s="1" customFormat="1" x14ac:dyDescent="0.2">
      <c r="A101" s="5"/>
      <c r="B101" s="6"/>
      <c r="C101" s="6"/>
      <c r="D101" s="6"/>
      <c r="E101" s="6"/>
      <c r="F101" s="6"/>
      <c r="G101" s="7"/>
      <c r="H101" s="6"/>
      <c r="I101" s="6"/>
      <c r="J101" s="6"/>
      <c r="K101" s="6"/>
      <c r="L101" s="6"/>
      <c r="M101" s="6"/>
      <c r="N101" s="6"/>
    </row>
    <row r="102" spans="1:14" s="1" customFormat="1" x14ac:dyDescent="0.2">
      <c r="A102" s="5"/>
      <c r="B102" s="6"/>
      <c r="C102" s="6"/>
      <c r="D102" s="6"/>
      <c r="E102" s="6"/>
      <c r="F102" s="6"/>
      <c r="G102" s="7"/>
      <c r="H102" s="6"/>
      <c r="I102" s="6"/>
      <c r="J102" s="6"/>
      <c r="K102" s="6"/>
      <c r="L102" s="6"/>
      <c r="M102" s="6"/>
      <c r="N102" s="6"/>
    </row>
    <row r="103" spans="1:14" s="1" customFormat="1" x14ac:dyDescent="0.2">
      <c r="A103" s="5"/>
      <c r="B103" s="6"/>
      <c r="C103" s="6"/>
      <c r="D103" s="6"/>
      <c r="E103" s="6"/>
      <c r="F103" s="6"/>
      <c r="G103" s="7"/>
      <c r="H103" s="6"/>
      <c r="I103" s="6"/>
      <c r="J103" s="6"/>
      <c r="K103" s="6"/>
      <c r="L103" s="6"/>
      <c r="M103" s="6"/>
      <c r="N103" s="6"/>
    </row>
    <row r="104" spans="1:14" s="1" customFormat="1" x14ac:dyDescent="0.2">
      <c r="A104" s="5"/>
      <c r="B104" s="6"/>
      <c r="C104" s="6"/>
      <c r="D104" s="6"/>
      <c r="E104" s="6"/>
      <c r="F104" s="6"/>
      <c r="G104" s="7"/>
      <c r="H104" s="6"/>
      <c r="I104" s="6"/>
      <c r="J104" s="6"/>
      <c r="K104" s="6"/>
      <c r="L104" s="6"/>
      <c r="M104" s="6"/>
      <c r="N104" s="6"/>
    </row>
    <row r="105" spans="1:14" s="1" customFormat="1" x14ac:dyDescent="0.2">
      <c r="A105" s="5"/>
      <c r="B105" s="6"/>
      <c r="C105" s="6"/>
      <c r="D105" s="6"/>
      <c r="E105" s="6"/>
      <c r="F105" s="6"/>
      <c r="G105" s="7"/>
      <c r="H105" s="6"/>
      <c r="I105" s="6"/>
      <c r="J105" s="6"/>
      <c r="K105" s="6"/>
      <c r="L105" s="6"/>
      <c r="M105" s="6"/>
      <c r="N105" s="6"/>
    </row>
    <row r="106" spans="1:14" s="1" customFormat="1" x14ac:dyDescent="0.2">
      <c r="A106" s="5"/>
      <c r="B106" s="6"/>
      <c r="C106" s="6"/>
      <c r="D106" s="6"/>
      <c r="E106" s="6"/>
      <c r="F106" s="6"/>
      <c r="G106" s="7"/>
      <c r="H106" s="6"/>
      <c r="I106" s="6"/>
      <c r="J106" s="6"/>
      <c r="K106" s="6"/>
      <c r="L106" s="6"/>
      <c r="M106" s="6"/>
      <c r="N106" s="6"/>
    </row>
    <row r="107" spans="1:14" s="1" customFormat="1" x14ac:dyDescent="0.2">
      <c r="A107" s="5"/>
      <c r="B107" s="6"/>
      <c r="C107" s="6"/>
      <c r="D107" s="6"/>
      <c r="E107" s="6"/>
      <c r="F107" s="6"/>
      <c r="G107" s="7"/>
      <c r="H107" s="6"/>
      <c r="I107" s="6"/>
      <c r="J107" s="6"/>
      <c r="K107" s="6"/>
      <c r="L107" s="6"/>
      <c r="M107" s="6"/>
      <c r="N107" s="6"/>
    </row>
    <row r="108" spans="1:14" s="1" customFormat="1" x14ac:dyDescent="0.2">
      <c r="A108" s="5"/>
      <c r="B108" s="6"/>
      <c r="C108" s="6"/>
      <c r="D108" s="6"/>
      <c r="E108" s="6"/>
      <c r="F108" s="6"/>
      <c r="G108" s="7"/>
      <c r="H108" s="6"/>
      <c r="I108" s="6"/>
      <c r="J108" s="6"/>
      <c r="K108" s="6"/>
      <c r="L108" s="6"/>
      <c r="M108" s="6"/>
      <c r="N108" s="6"/>
    </row>
    <row r="109" spans="1:14" s="1" customFormat="1" x14ac:dyDescent="0.2">
      <c r="A109" s="5"/>
      <c r="B109" s="6"/>
      <c r="C109" s="6"/>
      <c r="D109" s="6"/>
      <c r="E109" s="6"/>
      <c r="F109" s="6"/>
      <c r="G109" s="7"/>
      <c r="H109" s="6"/>
      <c r="I109" s="6"/>
      <c r="J109" s="6"/>
      <c r="K109" s="6"/>
      <c r="L109" s="6"/>
      <c r="M109" s="6"/>
      <c r="N109" s="6"/>
    </row>
    <row r="110" spans="1:14" s="1" customFormat="1" x14ac:dyDescent="0.2">
      <c r="A110" s="5"/>
      <c r="B110" s="6"/>
      <c r="C110" s="6"/>
      <c r="D110" s="6"/>
      <c r="E110" s="6"/>
      <c r="F110" s="6"/>
      <c r="G110" s="7"/>
      <c r="H110" s="6"/>
      <c r="I110" s="6"/>
      <c r="J110" s="6"/>
      <c r="K110" s="6"/>
      <c r="L110" s="6"/>
      <c r="M110" s="6"/>
      <c r="N110" s="6"/>
    </row>
    <row r="111" spans="1:14" s="1" customFormat="1" x14ac:dyDescent="0.2">
      <c r="A111" s="5"/>
      <c r="B111" s="6"/>
      <c r="C111" s="6"/>
      <c r="D111" s="6"/>
      <c r="E111" s="6"/>
      <c r="F111" s="6"/>
      <c r="G111" s="7"/>
      <c r="H111" s="6"/>
      <c r="I111" s="6"/>
      <c r="J111" s="6"/>
      <c r="K111" s="6"/>
      <c r="L111" s="6"/>
      <c r="M111" s="6"/>
      <c r="N111" s="6"/>
    </row>
    <row r="112" spans="1:14" s="1" customFormat="1" x14ac:dyDescent="0.2">
      <c r="A112" s="5"/>
      <c r="B112" s="6"/>
      <c r="C112" s="6"/>
      <c r="D112" s="6"/>
      <c r="E112" s="6"/>
      <c r="F112" s="6"/>
      <c r="G112" s="7"/>
      <c r="H112" s="6"/>
      <c r="I112" s="6"/>
      <c r="J112" s="6"/>
      <c r="K112" s="6"/>
      <c r="L112" s="6"/>
      <c r="M112" s="6"/>
      <c r="N112" s="6"/>
    </row>
    <row r="113" spans="1:14" s="1" customFormat="1" x14ac:dyDescent="0.2">
      <c r="A113" s="5"/>
      <c r="B113" s="6"/>
      <c r="C113" s="6"/>
      <c r="D113" s="6"/>
      <c r="E113" s="6"/>
      <c r="F113" s="6"/>
      <c r="G113" s="7"/>
      <c r="H113" s="6"/>
      <c r="I113" s="6"/>
      <c r="J113" s="6"/>
      <c r="K113" s="6"/>
      <c r="L113" s="6"/>
      <c r="M113" s="6"/>
      <c r="N113" s="6"/>
    </row>
    <row r="114" spans="1:14" s="1" customFormat="1" x14ac:dyDescent="0.2">
      <c r="A114" s="5"/>
      <c r="B114" s="6"/>
      <c r="C114" s="6"/>
      <c r="D114" s="6"/>
      <c r="E114" s="6"/>
      <c r="F114" s="6"/>
      <c r="G114" s="7"/>
      <c r="H114" s="6"/>
      <c r="I114" s="6"/>
      <c r="J114" s="6"/>
      <c r="K114" s="6"/>
      <c r="L114" s="6"/>
      <c r="M114" s="6"/>
      <c r="N114" s="6"/>
    </row>
    <row r="115" spans="1:14" s="1" customFormat="1" x14ac:dyDescent="0.2">
      <c r="A115" s="5"/>
      <c r="B115" s="6"/>
      <c r="C115" s="6"/>
      <c r="D115" s="6"/>
      <c r="E115" s="6"/>
      <c r="F115" s="6"/>
      <c r="G115" s="7"/>
      <c r="H115" s="6"/>
      <c r="I115" s="6"/>
      <c r="J115" s="6"/>
      <c r="K115" s="6"/>
      <c r="L115" s="6"/>
      <c r="M115" s="6"/>
      <c r="N115" s="6"/>
    </row>
    <row r="116" spans="1:14" s="1" customFormat="1" x14ac:dyDescent="0.2">
      <c r="A116" s="5"/>
      <c r="B116" s="6"/>
      <c r="C116" s="6"/>
      <c r="D116" s="6"/>
      <c r="E116" s="6"/>
      <c r="F116" s="6"/>
      <c r="G116" s="7"/>
      <c r="H116" s="6"/>
      <c r="I116" s="6"/>
      <c r="J116" s="6"/>
      <c r="K116" s="6"/>
      <c r="L116" s="6"/>
      <c r="M116" s="6"/>
      <c r="N116" s="6"/>
    </row>
    <row r="117" spans="1:14" s="1" customFormat="1" x14ac:dyDescent="0.2">
      <c r="A117" s="5"/>
      <c r="B117" s="6"/>
      <c r="C117" s="6"/>
      <c r="D117" s="6"/>
      <c r="E117" s="6"/>
      <c r="F117" s="6"/>
      <c r="G117" s="7"/>
      <c r="H117" s="6"/>
      <c r="I117" s="6"/>
      <c r="J117" s="6"/>
      <c r="K117" s="6"/>
      <c r="L117" s="6"/>
      <c r="M117" s="6"/>
      <c r="N117" s="6"/>
    </row>
    <row r="118" spans="1:14" s="1" customFormat="1" x14ac:dyDescent="0.2">
      <c r="A118" s="5"/>
      <c r="B118" s="6"/>
      <c r="C118" s="6"/>
      <c r="D118" s="6"/>
      <c r="E118" s="6"/>
      <c r="F118" s="6"/>
      <c r="G118" s="7"/>
      <c r="H118" s="6"/>
      <c r="I118" s="6"/>
      <c r="J118" s="6"/>
      <c r="K118" s="6"/>
      <c r="L118" s="6"/>
      <c r="M118" s="6"/>
      <c r="N118" s="6"/>
    </row>
    <row r="119" spans="1:14" s="1" customFormat="1" x14ac:dyDescent="0.2">
      <c r="A119" s="5"/>
      <c r="B119" s="6"/>
      <c r="C119" s="6"/>
      <c r="D119" s="6"/>
      <c r="E119" s="6"/>
      <c r="F119" s="6"/>
      <c r="G119" s="7"/>
      <c r="H119" s="6"/>
      <c r="I119" s="6"/>
      <c r="J119" s="6"/>
      <c r="K119" s="6"/>
      <c r="L119" s="6"/>
      <c r="M119" s="6"/>
      <c r="N119" s="6"/>
    </row>
    <row r="120" spans="1:14" s="1" customFormat="1" x14ac:dyDescent="0.2">
      <c r="A120" s="5"/>
      <c r="B120" s="6"/>
      <c r="C120" s="6"/>
      <c r="D120" s="6"/>
      <c r="E120" s="6"/>
      <c r="F120" s="6"/>
      <c r="G120" s="7"/>
      <c r="H120" s="6"/>
      <c r="I120" s="6"/>
      <c r="J120" s="6"/>
      <c r="K120" s="6"/>
      <c r="L120" s="6"/>
      <c r="M120" s="6"/>
      <c r="N120" s="6"/>
    </row>
    <row r="121" spans="1:14" s="1" customFormat="1" x14ac:dyDescent="0.2">
      <c r="A121" s="5"/>
      <c r="B121" s="6"/>
      <c r="C121" s="6"/>
      <c r="D121" s="6"/>
      <c r="E121" s="6"/>
      <c r="F121" s="6"/>
      <c r="G121" s="7"/>
      <c r="H121" s="6"/>
      <c r="I121" s="6"/>
      <c r="J121" s="6"/>
      <c r="K121" s="6"/>
      <c r="L121" s="6"/>
      <c r="M121" s="6"/>
      <c r="N121" s="6"/>
    </row>
    <row r="122" spans="1:14" s="1" customFormat="1" x14ac:dyDescent="0.2">
      <c r="A122" s="5"/>
      <c r="B122" s="6"/>
      <c r="C122" s="6"/>
      <c r="D122" s="6"/>
      <c r="E122" s="6"/>
      <c r="F122" s="6"/>
      <c r="G122" s="7"/>
      <c r="H122" s="6"/>
      <c r="I122" s="6"/>
      <c r="J122" s="6"/>
      <c r="K122" s="6"/>
      <c r="L122" s="6"/>
      <c r="M122" s="6"/>
      <c r="N122" s="6"/>
    </row>
    <row r="123" spans="1:14" s="1" customFormat="1" x14ac:dyDescent="0.2">
      <c r="A123" s="5"/>
      <c r="B123" s="6"/>
      <c r="C123" s="6"/>
      <c r="D123" s="6"/>
      <c r="E123" s="6"/>
      <c r="F123" s="6"/>
      <c r="G123" s="7"/>
      <c r="H123" s="6"/>
      <c r="I123" s="6"/>
      <c r="J123" s="6"/>
      <c r="K123" s="6"/>
      <c r="L123" s="6"/>
      <c r="M123" s="6"/>
      <c r="N123" s="6"/>
    </row>
    <row r="124" spans="1:14" s="1" customFormat="1" x14ac:dyDescent="0.2">
      <c r="A124" s="5"/>
      <c r="B124" s="6"/>
      <c r="C124" s="6"/>
      <c r="D124" s="6"/>
      <c r="E124" s="6"/>
      <c r="F124" s="6"/>
      <c r="G124" s="7"/>
      <c r="H124" s="6"/>
      <c r="I124" s="6"/>
      <c r="J124" s="6"/>
      <c r="K124" s="6"/>
      <c r="L124" s="6"/>
      <c r="M124" s="6"/>
      <c r="N124" s="6"/>
    </row>
    <row r="125" spans="1:14" s="1" customFormat="1" x14ac:dyDescent="0.2">
      <c r="A125" s="5"/>
      <c r="B125" s="6"/>
      <c r="C125" s="6"/>
      <c r="D125" s="6"/>
      <c r="E125" s="6"/>
      <c r="F125" s="6"/>
      <c r="G125" s="7"/>
      <c r="H125" s="6"/>
      <c r="I125" s="6"/>
      <c r="J125" s="6"/>
      <c r="K125" s="6"/>
      <c r="L125" s="6"/>
      <c r="M125" s="6"/>
      <c r="N125" s="6"/>
    </row>
    <row r="126" spans="1:14" s="1" customFormat="1" x14ac:dyDescent="0.2">
      <c r="A126" s="5"/>
      <c r="B126" s="6"/>
      <c r="C126" s="6"/>
      <c r="D126" s="6"/>
      <c r="E126" s="6"/>
      <c r="F126" s="6"/>
      <c r="G126" s="7"/>
      <c r="H126" s="6"/>
      <c r="I126" s="6"/>
      <c r="J126" s="6"/>
      <c r="K126" s="6"/>
      <c r="L126" s="6"/>
      <c r="M126" s="6"/>
      <c r="N126" s="6"/>
    </row>
    <row r="127" spans="1:14" s="1" customFormat="1" x14ac:dyDescent="0.2">
      <c r="A127" s="5"/>
      <c r="B127" s="6"/>
      <c r="C127" s="6"/>
      <c r="D127" s="6"/>
      <c r="E127" s="6"/>
      <c r="F127" s="6"/>
      <c r="G127" s="7"/>
      <c r="H127" s="6"/>
      <c r="I127" s="6"/>
      <c r="J127" s="6"/>
      <c r="K127" s="6"/>
      <c r="L127" s="6"/>
      <c r="M127" s="6"/>
      <c r="N127" s="6"/>
    </row>
    <row r="128" spans="1:14" s="1" customFormat="1" x14ac:dyDescent="0.2">
      <c r="A128" s="5"/>
      <c r="B128" s="6"/>
      <c r="C128" s="6"/>
      <c r="D128" s="6"/>
      <c r="E128" s="6"/>
      <c r="F128" s="6"/>
      <c r="G128" s="7"/>
      <c r="H128" s="6"/>
      <c r="I128" s="6"/>
      <c r="J128" s="6"/>
      <c r="K128" s="6"/>
      <c r="L128" s="6"/>
      <c r="M128" s="6"/>
      <c r="N128" s="6"/>
    </row>
    <row r="129" spans="1:14" s="1" customFormat="1" x14ac:dyDescent="0.2">
      <c r="A129" s="5"/>
      <c r="B129" s="6"/>
      <c r="C129" s="6"/>
      <c r="D129" s="6"/>
      <c r="E129" s="6"/>
      <c r="F129" s="6"/>
      <c r="G129" s="7"/>
      <c r="H129" s="6"/>
      <c r="I129" s="6"/>
      <c r="J129" s="6"/>
      <c r="K129" s="6"/>
      <c r="L129" s="6"/>
      <c r="M129" s="6"/>
      <c r="N129" s="6"/>
    </row>
    <row r="130" spans="1:14" s="1" customFormat="1" x14ac:dyDescent="0.2">
      <c r="A130" s="5"/>
      <c r="B130" s="6"/>
      <c r="C130" s="6"/>
      <c r="D130" s="6"/>
      <c r="E130" s="6"/>
      <c r="F130" s="6"/>
      <c r="G130" s="7"/>
      <c r="H130" s="6"/>
      <c r="I130" s="6"/>
      <c r="J130" s="6"/>
      <c r="K130" s="6"/>
      <c r="L130" s="6"/>
      <c r="M130" s="6"/>
      <c r="N130" s="6"/>
    </row>
    <row r="131" spans="1:14" s="1" customFormat="1" x14ac:dyDescent="0.2">
      <c r="A131" s="5"/>
      <c r="B131" s="6"/>
      <c r="C131" s="6"/>
      <c r="D131" s="6"/>
      <c r="E131" s="6"/>
      <c r="F131" s="6"/>
      <c r="G131" s="7"/>
      <c r="H131" s="6"/>
      <c r="I131" s="6"/>
      <c r="J131" s="6"/>
      <c r="K131" s="6"/>
      <c r="L131" s="6"/>
      <c r="M131" s="6"/>
      <c r="N131" s="6"/>
    </row>
    <row r="132" spans="1:14" s="1" customFormat="1" x14ac:dyDescent="0.2">
      <c r="A132" s="5"/>
      <c r="B132" s="6"/>
      <c r="C132" s="6"/>
      <c r="D132" s="6"/>
      <c r="E132" s="6"/>
      <c r="F132" s="6"/>
      <c r="G132" s="7"/>
      <c r="H132" s="6"/>
      <c r="I132" s="6"/>
      <c r="J132" s="6"/>
      <c r="K132" s="6"/>
      <c r="L132" s="6"/>
      <c r="M132" s="6"/>
      <c r="N132" s="6"/>
    </row>
    <row r="133" spans="1:14" s="1" customFormat="1" x14ac:dyDescent="0.2">
      <c r="A133" s="5"/>
      <c r="B133" s="6"/>
      <c r="C133" s="6"/>
      <c r="D133" s="6"/>
      <c r="E133" s="6"/>
      <c r="F133" s="6"/>
      <c r="G133" s="7"/>
      <c r="H133" s="6"/>
      <c r="I133" s="6"/>
      <c r="J133" s="6"/>
      <c r="K133" s="6"/>
      <c r="L133" s="6"/>
      <c r="M133" s="6"/>
      <c r="N133" s="6"/>
    </row>
    <row r="134" spans="1:14" s="1" customFormat="1" x14ac:dyDescent="0.2">
      <c r="A134" s="5"/>
      <c r="B134" s="6"/>
      <c r="C134" s="6"/>
      <c r="D134" s="6"/>
      <c r="E134" s="6"/>
      <c r="F134" s="6"/>
      <c r="G134" s="7"/>
      <c r="H134" s="6"/>
      <c r="I134" s="6"/>
      <c r="J134" s="6"/>
      <c r="K134" s="6"/>
      <c r="L134" s="6"/>
      <c r="M134" s="6"/>
      <c r="N134" s="6"/>
    </row>
    <row r="135" spans="1:14" s="1" customFormat="1" x14ac:dyDescent="0.2">
      <c r="A135" s="5"/>
      <c r="B135" s="6"/>
      <c r="C135" s="6"/>
      <c r="D135" s="6"/>
      <c r="E135" s="6"/>
      <c r="F135" s="6"/>
      <c r="G135" s="7"/>
      <c r="H135" s="6"/>
      <c r="I135" s="6"/>
      <c r="J135" s="6"/>
      <c r="K135" s="6"/>
      <c r="L135" s="6"/>
      <c r="M135" s="6"/>
      <c r="N135" s="6"/>
    </row>
    <row r="136" spans="1:14" s="1" customFormat="1" x14ac:dyDescent="0.2">
      <c r="A136" s="5"/>
      <c r="B136" s="6"/>
      <c r="C136" s="6"/>
      <c r="D136" s="6"/>
      <c r="E136" s="6"/>
      <c r="F136" s="6"/>
      <c r="G136" s="7"/>
      <c r="H136" s="6"/>
      <c r="I136" s="6"/>
      <c r="J136" s="6"/>
      <c r="K136" s="6"/>
      <c r="L136" s="6"/>
      <c r="M136" s="6"/>
      <c r="N136" s="6"/>
    </row>
    <row r="137" spans="1:14" s="1" customFormat="1" x14ac:dyDescent="0.2">
      <c r="A137" s="5"/>
      <c r="B137" s="6"/>
      <c r="C137" s="6"/>
      <c r="D137" s="6"/>
      <c r="E137" s="6"/>
      <c r="F137" s="6"/>
      <c r="G137" s="7"/>
      <c r="H137" s="6"/>
      <c r="I137" s="6"/>
      <c r="J137" s="6"/>
      <c r="K137" s="6"/>
      <c r="L137" s="6"/>
      <c r="M137" s="6"/>
      <c r="N137" s="6"/>
    </row>
    <row r="138" spans="1:14" s="1" customFormat="1" x14ac:dyDescent="0.2">
      <c r="A138" s="5"/>
      <c r="B138" s="6"/>
      <c r="C138" s="6"/>
      <c r="D138" s="6"/>
      <c r="E138" s="6"/>
      <c r="F138" s="6"/>
      <c r="G138" s="7"/>
      <c r="H138" s="6"/>
      <c r="I138" s="6"/>
      <c r="J138" s="6"/>
      <c r="K138" s="6"/>
      <c r="L138" s="6"/>
      <c r="M138" s="6"/>
      <c r="N138" s="6"/>
    </row>
    <row r="139" spans="1:14" s="1" customFormat="1" x14ac:dyDescent="0.2">
      <c r="A139" s="5"/>
      <c r="B139" s="6"/>
      <c r="C139" s="6"/>
      <c r="D139" s="6"/>
      <c r="E139" s="6"/>
      <c r="F139" s="6"/>
      <c r="G139" s="7"/>
      <c r="H139" s="6"/>
      <c r="I139" s="6"/>
      <c r="J139" s="6"/>
      <c r="K139" s="6"/>
      <c r="L139" s="6"/>
      <c r="M139" s="6"/>
      <c r="N139" s="6"/>
    </row>
    <row r="140" spans="1:14" s="1" customFormat="1" x14ac:dyDescent="0.2">
      <c r="A140" s="5"/>
      <c r="B140" s="6"/>
      <c r="C140" s="6"/>
      <c r="D140" s="6"/>
      <c r="E140" s="6"/>
      <c r="F140" s="6"/>
      <c r="G140" s="7"/>
      <c r="H140" s="6"/>
      <c r="I140" s="6"/>
      <c r="J140" s="6"/>
      <c r="K140" s="6"/>
      <c r="L140" s="6"/>
      <c r="M140" s="6"/>
      <c r="N140" s="6"/>
    </row>
    <row r="141" spans="1:14" s="1" customFormat="1" x14ac:dyDescent="0.2">
      <c r="A141" s="5"/>
      <c r="B141" s="6"/>
      <c r="C141" s="6"/>
      <c r="D141" s="6"/>
      <c r="E141" s="6"/>
      <c r="F141" s="6"/>
      <c r="G141" s="7"/>
      <c r="H141" s="6"/>
      <c r="I141" s="6"/>
      <c r="J141" s="6"/>
      <c r="K141" s="6"/>
      <c r="L141" s="6"/>
      <c r="M141" s="6"/>
      <c r="N141" s="6"/>
    </row>
    <row r="142" spans="1:14" s="1" customFormat="1" x14ac:dyDescent="0.2">
      <c r="A142" s="5"/>
      <c r="B142" s="6"/>
      <c r="C142" s="6"/>
      <c r="D142" s="6"/>
      <c r="E142" s="6"/>
      <c r="F142" s="6"/>
      <c r="G142" s="7"/>
      <c r="H142" s="6"/>
      <c r="I142" s="6"/>
      <c r="J142" s="6"/>
      <c r="K142" s="6"/>
      <c r="L142" s="6"/>
      <c r="M142" s="6"/>
      <c r="N142" s="6"/>
    </row>
    <row r="143" spans="1:14" s="1" customFormat="1" x14ac:dyDescent="0.2">
      <c r="A143" s="5"/>
      <c r="B143" s="6"/>
      <c r="C143" s="6"/>
      <c r="D143" s="6"/>
      <c r="E143" s="6"/>
      <c r="F143" s="6"/>
      <c r="G143" s="7"/>
      <c r="H143" s="6"/>
      <c r="I143" s="6"/>
      <c r="J143" s="6"/>
      <c r="K143" s="6"/>
      <c r="L143" s="6"/>
      <c r="M143" s="6"/>
      <c r="N143" s="6"/>
    </row>
    <row r="144" spans="1:14" s="1" customFormat="1" x14ac:dyDescent="0.2">
      <c r="A144" s="5"/>
      <c r="B144" s="6"/>
      <c r="C144" s="6"/>
      <c r="D144" s="6"/>
      <c r="E144" s="6"/>
      <c r="F144" s="6"/>
      <c r="G144" s="7"/>
      <c r="H144" s="6"/>
      <c r="I144" s="6"/>
      <c r="J144" s="6"/>
      <c r="K144" s="6"/>
      <c r="L144" s="6"/>
      <c r="M144" s="6"/>
      <c r="N144" s="6"/>
    </row>
    <row r="145" spans="1:14" s="1" customFormat="1" x14ac:dyDescent="0.2">
      <c r="A145" s="5"/>
      <c r="B145" s="6"/>
      <c r="C145" s="6"/>
      <c r="D145" s="6"/>
      <c r="E145" s="6"/>
      <c r="F145" s="6"/>
      <c r="G145" s="7"/>
      <c r="H145" s="6"/>
      <c r="I145" s="6"/>
      <c r="J145" s="6"/>
      <c r="K145" s="6"/>
      <c r="L145" s="6"/>
      <c r="M145" s="6"/>
      <c r="N145" s="6"/>
    </row>
    <row r="146" spans="1:14" s="1" customFormat="1" x14ac:dyDescent="0.2">
      <c r="A146" s="5"/>
      <c r="B146" s="6"/>
      <c r="C146" s="6"/>
      <c r="D146" s="6"/>
      <c r="E146" s="6"/>
      <c r="F146" s="6"/>
      <c r="G146" s="7"/>
      <c r="H146" s="6"/>
      <c r="I146" s="6"/>
      <c r="J146" s="6"/>
      <c r="K146" s="6"/>
      <c r="L146" s="6"/>
      <c r="M146" s="6"/>
      <c r="N146" s="6"/>
    </row>
    <row r="147" spans="1:14" s="1" customFormat="1" x14ac:dyDescent="0.2">
      <c r="A147" s="5"/>
      <c r="B147" s="6"/>
      <c r="C147" s="6"/>
      <c r="D147" s="6"/>
      <c r="E147" s="6"/>
      <c r="F147" s="6"/>
      <c r="G147" s="7"/>
      <c r="H147" s="6"/>
      <c r="I147" s="6"/>
      <c r="J147" s="6"/>
      <c r="K147" s="6"/>
      <c r="L147" s="6"/>
      <c r="M147" s="6"/>
      <c r="N147" s="6"/>
    </row>
    <row r="148" spans="1:14" s="1" customFormat="1" x14ac:dyDescent="0.2">
      <c r="A148" s="5"/>
      <c r="B148" s="6"/>
      <c r="C148" s="6"/>
      <c r="D148" s="6"/>
      <c r="E148" s="6"/>
      <c r="F148" s="6"/>
      <c r="G148" s="7"/>
      <c r="H148" s="6"/>
      <c r="I148" s="6"/>
      <c r="J148" s="6"/>
      <c r="K148" s="6"/>
      <c r="L148" s="6"/>
      <c r="M148" s="6"/>
      <c r="N148" s="6"/>
    </row>
    <row r="149" spans="1:14" s="1" customFormat="1" x14ac:dyDescent="0.2">
      <c r="A149" s="5"/>
      <c r="B149" s="6"/>
      <c r="C149" s="6"/>
      <c r="D149" s="6"/>
      <c r="E149" s="6"/>
      <c r="F149" s="6"/>
      <c r="G149" s="7"/>
      <c r="H149" s="6"/>
      <c r="I149" s="6"/>
      <c r="J149" s="6"/>
      <c r="K149" s="6"/>
      <c r="L149" s="6"/>
      <c r="M149" s="6"/>
      <c r="N149" s="6"/>
    </row>
    <row r="150" spans="1:14" s="1" customFormat="1" x14ac:dyDescent="0.2">
      <c r="A150" s="5"/>
      <c r="B150" s="6"/>
      <c r="C150" s="6"/>
      <c r="D150" s="6"/>
      <c r="E150" s="6"/>
      <c r="F150" s="6"/>
      <c r="G150" s="7"/>
      <c r="H150" s="6"/>
      <c r="I150" s="6"/>
      <c r="J150" s="6"/>
      <c r="K150" s="6"/>
      <c r="L150" s="6"/>
      <c r="M150" s="6"/>
      <c r="N150" s="6"/>
    </row>
    <row r="151" spans="1:14" s="1" customFormat="1" x14ac:dyDescent="0.2">
      <c r="A151" s="5"/>
      <c r="B151" s="6"/>
      <c r="C151" s="6"/>
      <c r="D151" s="6"/>
      <c r="E151" s="6"/>
      <c r="F151" s="6"/>
      <c r="G151" s="7"/>
      <c r="H151" s="6"/>
      <c r="I151" s="6"/>
      <c r="J151" s="6"/>
      <c r="K151" s="6"/>
      <c r="L151" s="6"/>
      <c r="M151" s="6"/>
      <c r="N151" s="6"/>
    </row>
    <row r="152" spans="1:14" s="1" customFormat="1" x14ac:dyDescent="0.2">
      <c r="A152" s="5"/>
      <c r="B152" s="6"/>
      <c r="C152" s="6"/>
      <c r="D152" s="6"/>
      <c r="E152" s="6"/>
      <c r="F152" s="6"/>
      <c r="G152" s="7"/>
      <c r="H152" s="6"/>
      <c r="I152" s="6"/>
      <c r="J152" s="6"/>
      <c r="K152" s="6"/>
      <c r="L152" s="6"/>
      <c r="M152" s="6"/>
      <c r="N152" s="6"/>
    </row>
    <row r="153" spans="1:14" s="1" customFormat="1" x14ac:dyDescent="0.2">
      <c r="A153" s="5"/>
      <c r="B153" s="6"/>
      <c r="C153" s="6"/>
      <c r="D153" s="6"/>
      <c r="E153" s="6"/>
      <c r="F153" s="6"/>
      <c r="G153" s="7"/>
      <c r="H153" s="6"/>
      <c r="I153" s="6"/>
      <c r="J153" s="6"/>
      <c r="K153" s="6"/>
      <c r="L153" s="6"/>
      <c r="M153" s="6"/>
      <c r="N153" s="6"/>
    </row>
    <row r="154" spans="1:14" s="1" customFormat="1" x14ac:dyDescent="0.2">
      <c r="A154" s="5"/>
      <c r="B154" s="6"/>
      <c r="C154" s="6"/>
      <c r="D154" s="6"/>
      <c r="E154" s="6"/>
      <c r="F154" s="6"/>
      <c r="G154" s="7"/>
      <c r="H154" s="6"/>
      <c r="I154" s="6"/>
      <c r="J154" s="6"/>
      <c r="K154" s="6"/>
      <c r="L154" s="6"/>
      <c r="M154" s="6"/>
      <c r="N154" s="6"/>
    </row>
    <row r="155" spans="1:14" s="1" customFormat="1" x14ac:dyDescent="0.2">
      <c r="A155" s="5"/>
      <c r="B155" s="6"/>
      <c r="C155" s="6"/>
      <c r="D155" s="6"/>
      <c r="E155" s="6"/>
      <c r="F155" s="6"/>
      <c r="G155" s="7"/>
      <c r="H155" s="6"/>
      <c r="I155" s="6"/>
      <c r="J155" s="6"/>
      <c r="K155" s="6"/>
      <c r="L155" s="6"/>
      <c r="M155" s="6"/>
      <c r="N155" s="6"/>
    </row>
    <row r="156" spans="1:14" s="1" customFormat="1" x14ac:dyDescent="0.2">
      <c r="A156" s="5"/>
      <c r="B156" s="6"/>
      <c r="C156" s="6"/>
      <c r="D156" s="6"/>
      <c r="E156" s="6"/>
      <c r="F156" s="6"/>
      <c r="G156" s="7"/>
      <c r="H156" s="6"/>
      <c r="I156" s="6"/>
      <c r="J156" s="6"/>
      <c r="K156" s="6"/>
      <c r="L156" s="6"/>
      <c r="M156" s="6"/>
      <c r="N156" s="6"/>
    </row>
    <row r="157" spans="1:14" s="1" customFormat="1" x14ac:dyDescent="0.2">
      <c r="A157" s="5"/>
      <c r="B157" s="6"/>
      <c r="C157" s="6"/>
      <c r="D157" s="6"/>
      <c r="E157" s="6"/>
      <c r="F157" s="6"/>
      <c r="G157" s="7"/>
      <c r="H157" s="6"/>
      <c r="I157" s="6"/>
      <c r="J157" s="6"/>
      <c r="K157" s="6"/>
      <c r="L157" s="6"/>
      <c r="M157" s="6"/>
      <c r="N157" s="6"/>
    </row>
    <row r="158" spans="1:14" s="1" customFormat="1" x14ac:dyDescent="0.2">
      <c r="A158" s="5"/>
      <c r="B158" s="6"/>
      <c r="C158" s="6"/>
      <c r="D158" s="6"/>
      <c r="E158" s="6"/>
      <c r="F158" s="6"/>
      <c r="G158" s="7"/>
      <c r="H158" s="6"/>
      <c r="I158" s="6"/>
      <c r="J158" s="6"/>
      <c r="K158" s="6"/>
      <c r="L158" s="6"/>
      <c r="M158" s="6"/>
      <c r="N158" s="6"/>
    </row>
    <row r="159" spans="1:14" s="1" customFormat="1" x14ac:dyDescent="0.2">
      <c r="A159" s="5"/>
      <c r="B159" s="6"/>
      <c r="C159" s="6"/>
      <c r="D159" s="6"/>
      <c r="E159" s="6"/>
      <c r="F159" s="6"/>
      <c r="G159" s="7"/>
      <c r="H159" s="6"/>
      <c r="I159" s="6"/>
      <c r="J159" s="6"/>
      <c r="K159" s="6"/>
      <c r="L159" s="6"/>
      <c r="M159" s="6"/>
      <c r="N159" s="6"/>
    </row>
    <row r="160" spans="1:14" s="1" customFormat="1" x14ac:dyDescent="0.2">
      <c r="A160" s="5"/>
      <c r="B160" s="6"/>
      <c r="C160" s="6"/>
      <c r="D160" s="6"/>
      <c r="E160" s="6"/>
      <c r="F160" s="6"/>
      <c r="G160" s="7"/>
      <c r="H160" s="6"/>
      <c r="I160" s="6"/>
      <c r="J160" s="6"/>
      <c r="K160" s="6"/>
      <c r="L160" s="6"/>
      <c r="M160" s="6"/>
      <c r="N160" s="6"/>
    </row>
    <row r="161" spans="1:14" s="1" customFormat="1" x14ac:dyDescent="0.2">
      <c r="A161" s="5"/>
      <c r="B161" s="6"/>
      <c r="C161" s="6"/>
      <c r="D161" s="6"/>
      <c r="E161" s="6"/>
      <c r="F161" s="6"/>
      <c r="G161" s="7"/>
      <c r="H161" s="6"/>
      <c r="I161" s="6"/>
      <c r="J161" s="6"/>
      <c r="K161" s="6"/>
      <c r="L161" s="6"/>
      <c r="M161" s="6"/>
      <c r="N161" s="6"/>
    </row>
    <row r="162" spans="1:14" s="1" customFormat="1" x14ac:dyDescent="0.2">
      <c r="A162" s="5"/>
      <c r="B162" s="6"/>
      <c r="C162" s="6"/>
      <c r="D162" s="6"/>
      <c r="E162" s="6"/>
      <c r="F162" s="6"/>
      <c r="G162" s="7"/>
      <c r="H162" s="6"/>
      <c r="I162" s="6"/>
      <c r="J162" s="6"/>
      <c r="K162" s="6"/>
      <c r="L162" s="6"/>
      <c r="M162" s="6"/>
      <c r="N162" s="6"/>
    </row>
    <row r="163" spans="1:14" s="1" customFormat="1" x14ac:dyDescent="0.2">
      <c r="A163" s="5"/>
      <c r="B163" s="6"/>
      <c r="C163" s="6"/>
      <c r="D163" s="6"/>
      <c r="E163" s="6"/>
      <c r="F163" s="6"/>
      <c r="G163" s="7"/>
      <c r="H163" s="6"/>
      <c r="I163" s="6"/>
      <c r="J163" s="6"/>
      <c r="K163" s="6"/>
      <c r="L163" s="6"/>
      <c r="M163" s="6"/>
      <c r="N163" s="6"/>
    </row>
    <row r="164" spans="1:14" s="1" customFormat="1" x14ac:dyDescent="0.2">
      <c r="A164" s="5"/>
      <c r="B164" s="6"/>
      <c r="C164" s="6"/>
      <c r="D164" s="6"/>
      <c r="E164" s="6"/>
      <c r="F164" s="6"/>
      <c r="G164" s="7"/>
      <c r="H164" s="6"/>
      <c r="I164" s="6"/>
      <c r="J164" s="6"/>
      <c r="K164" s="6"/>
      <c r="L164" s="6"/>
      <c r="M164" s="6"/>
      <c r="N164" s="6"/>
    </row>
    <row r="165" spans="1:14" s="1" customFormat="1" x14ac:dyDescent="0.2">
      <c r="A165" s="5"/>
      <c r="B165" s="6"/>
      <c r="C165" s="6"/>
      <c r="D165" s="6"/>
      <c r="E165" s="6"/>
      <c r="F165" s="6"/>
      <c r="G165" s="7"/>
      <c r="H165" s="6"/>
      <c r="I165" s="6"/>
      <c r="J165" s="6"/>
      <c r="K165" s="6"/>
      <c r="L165" s="6"/>
      <c r="M165" s="6"/>
      <c r="N165" s="6"/>
    </row>
    <row r="166" spans="1:14" s="1" customFormat="1" x14ac:dyDescent="0.2">
      <c r="A166" s="5"/>
      <c r="B166" s="6"/>
      <c r="C166" s="6"/>
      <c r="D166" s="6"/>
      <c r="E166" s="6"/>
      <c r="F166" s="6"/>
      <c r="G166" s="7"/>
      <c r="H166" s="6"/>
      <c r="I166" s="6"/>
      <c r="J166" s="6"/>
      <c r="K166" s="6"/>
      <c r="L166" s="6"/>
      <c r="M166" s="6"/>
      <c r="N166" s="6"/>
    </row>
    <row r="167" spans="1:14" s="1" customFormat="1" x14ac:dyDescent="0.2">
      <c r="A167" s="5"/>
      <c r="B167" s="6"/>
      <c r="C167" s="6"/>
      <c r="D167" s="6"/>
      <c r="E167" s="6"/>
      <c r="F167" s="6"/>
      <c r="G167" s="7"/>
      <c r="H167" s="6"/>
      <c r="I167" s="6"/>
      <c r="J167" s="6"/>
      <c r="K167" s="6"/>
      <c r="L167" s="6"/>
      <c r="M167" s="6"/>
      <c r="N167" s="6"/>
    </row>
    <row r="168" spans="1:14" s="1" customFormat="1" x14ac:dyDescent="0.2">
      <c r="A168" s="5"/>
      <c r="B168" s="6"/>
      <c r="C168" s="6"/>
      <c r="D168" s="6"/>
      <c r="E168" s="6"/>
      <c r="F168" s="6"/>
      <c r="G168" s="7"/>
      <c r="H168" s="6"/>
      <c r="I168" s="6"/>
      <c r="J168" s="6"/>
      <c r="K168" s="6"/>
      <c r="L168" s="6"/>
      <c r="M168" s="6"/>
      <c r="N168" s="6"/>
    </row>
    <row r="169" spans="1:14" s="1" customFormat="1" x14ac:dyDescent="0.2">
      <c r="A169" s="5"/>
      <c r="B169" s="6"/>
      <c r="C169" s="6"/>
      <c r="D169" s="6"/>
      <c r="E169" s="6"/>
      <c r="F169" s="6"/>
      <c r="G169" s="7"/>
      <c r="H169" s="6"/>
      <c r="I169" s="6"/>
      <c r="J169" s="6"/>
      <c r="K169" s="6"/>
      <c r="L169" s="6"/>
      <c r="M169" s="6"/>
      <c r="N169" s="6"/>
    </row>
    <row r="170" spans="1:14" s="1" customFormat="1" x14ac:dyDescent="0.2">
      <c r="A170" s="5"/>
      <c r="B170" s="6"/>
      <c r="C170" s="6"/>
      <c r="D170" s="6"/>
      <c r="E170" s="6"/>
      <c r="F170" s="6"/>
      <c r="G170" s="7"/>
      <c r="H170" s="6"/>
      <c r="I170" s="6"/>
      <c r="J170" s="6"/>
      <c r="K170" s="6"/>
      <c r="L170" s="6"/>
      <c r="M170" s="6"/>
      <c r="N170" s="6"/>
    </row>
    <row r="171" spans="1:14" s="1" customFormat="1" x14ac:dyDescent="0.2">
      <c r="A171" s="5"/>
      <c r="B171" s="6"/>
      <c r="C171" s="6"/>
      <c r="D171" s="6"/>
      <c r="E171" s="6"/>
      <c r="F171" s="6"/>
      <c r="G171" s="7"/>
      <c r="H171" s="6"/>
      <c r="I171" s="6"/>
      <c r="J171" s="6"/>
      <c r="K171" s="6"/>
      <c r="L171" s="6"/>
      <c r="M171" s="6"/>
      <c r="N171" s="6"/>
    </row>
    <row r="172" spans="1:14" s="1" customFormat="1" x14ac:dyDescent="0.2">
      <c r="A172" s="5"/>
      <c r="B172" s="6"/>
      <c r="C172" s="6"/>
      <c r="D172" s="6"/>
      <c r="E172" s="6"/>
      <c r="F172" s="6"/>
      <c r="G172" s="7"/>
      <c r="H172" s="6"/>
      <c r="I172" s="6"/>
      <c r="J172" s="6"/>
      <c r="K172" s="6"/>
      <c r="L172" s="6"/>
      <c r="M172" s="6"/>
      <c r="N172" s="6"/>
    </row>
    <row r="173" spans="1:14" s="1" customFormat="1" x14ac:dyDescent="0.2">
      <c r="A173" s="5"/>
      <c r="B173" s="6"/>
      <c r="C173" s="6"/>
      <c r="D173" s="6"/>
      <c r="E173" s="6"/>
      <c r="F173" s="6"/>
      <c r="G173" s="7"/>
      <c r="H173" s="6"/>
      <c r="I173" s="6"/>
      <c r="J173" s="6"/>
      <c r="K173" s="6"/>
      <c r="L173" s="6"/>
      <c r="M173" s="6"/>
      <c r="N173" s="6"/>
    </row>
    <row r="174" spans="1:14" s="1" customFormat="1" x14ac:dyDescent="0.2">
      <c r="A174" s="5"/>
      <c r="B174" s="6"/>
      <c r="C174" s="6"/>
      <c r="D174" s="6"/>
      <c r="E174" s="6"/>
      <c r="F174" s="6"/>
      <c r="G174" s="7"/>
      <c r="H174" s="6"/>
      <c r="I174" s="6"/>
      <c r="J174" s="6"/>
      <c r="K174" s="6"/>
      <c r="L174" s="6"/>
      <c r="M174" s="6"/>
      <c r="N174" s="6"/>
    </row>
    <row r="175" spans="1:14" s="1" customFormat="1" x14ac:dyDescent="0.2">
      <c r="A175" s="5"/>
      <c r="B175" s="6"/>
      <c r="C175" s="6"/>
      <c r="D175" s="6"/>
      <c r="E175" s="6"/>
      <c r="F175" s="6"/>
      <c r="G175" s="7"/>
      <c r="H175" s="6"/>
      <c r="I175" s="6"/>
      <c r="J175" s="6"/>
      <c r="K175" s="6"/>
      <c r="L175" s="6"/>
      <c r="M175" s="6"/>
      <c r="N175" s="6"/>
    </row>
    <row r="176" spans="1:14" s="1" customFormat="1" x14ac:dyDescent="0.2">
      <c r="A176" s="5"/>
      <c r="B176" s="6"/>
      <c r="C176" s="6"/>
      <c r="D176" s="6"/>
      <c r="E176" s="6"/>
      <c r="F176" s="6"/>
      <c r="G176" s="7"/>
      <c r="H176" s="6"/>
      <c r="I176" s="6"/>
      <c r="J176" s="6"/>
      <c r="K176" s="6"/>
      <c r="L176" s="6"/>
      <c r="M176" s="6"/>
      <c r="N176" s="6"/>
    </row>
    <row r="177" spans="1:14" s="1" customFormat="1" x14ac:dyDescent="0.2">
      <c r="A177" s="5"/>
      <c r="B177" s="6"/>
      <c r="C177" s="6"/>
      <c r="D177" s="6"/>
      <c r="E177" s="6"/>
      <c r="F177" s="6"/>
      <c r="G177" s="7"/>
      <c r="H177" s="6"/>
      <c r="I177" s="6"/>
      <c r="J177" s="6"/>
      <c r="K177" s="6"/>
      <c r="L177" s="6"/>
      <c r="M177" s="6"/>
      <c r="N177" s="6"/>
    </row>
    <row r="178" spans="1:14" s="1" customFormat="1" x14ac:dyDescent="0.2">
      <c r="A178" s="5"/>
      <c r="B178" s="6"/>
      <c r="C178" s="6"/>
      <c r="D178" s="6"/>
      <c r="E178" s="6"/>
      <c r="F178" s="6"/>
      <c r="G178" s="7"/>
      <c r="H178" s="6"/>
      <c r="I178" s="6"/>
      <c r="J178" s="6"/>
      <c r="K178" s="6"/>
      <c r="L178" s="6"/>
      <c r="M178" s="6"/>
      <c r="N178" s="6"/>
    </row>
    <row r="179" spans="1:14" s="1" customFormat="1" x14ac:dyDescent="0.2">
      <c r="A179" s="5"/>
      <c r="B179" s="6"/>
      <c r="C179" s="6"/>
      <c r="D179" s="6"/>
      <c r="E179" s="6"/>
      <c r="F179" s="6"/>
      <c r="G179" s="7"/>
      <c r="H179" s="6"/>
      <c r="I179" s="6"/>
      <c r="J179" s="6"/>
      <c r="K179" s="6"/>
      <c r="L179" s="6"/>
      <c r="M179" s="6"/>
      <c r="N179" s="6"/>
    </row>
    <row r="180" spans="1:14" s="1" customFormat="1" x14ac:dyDescent="0.2">
      <c r="A180" s="5"/>
      <c r="B180" s="6"/>
      <c r="C180" s="6"/>
      <c r="D180" s="6"/>
      <c r="E180" s="6"/>
      <c r="F180" s="6"/>
      <c r="G180" s="7"/>
      <c r="H180" s="6"/>
      <c r="I180" s="6"/>
      <c r="J180" s="6"/>
      <c r="K180" s="6"/>
      <c r="L180" s="6"/>
      <c r="M180" s="6"/>
      <c r="N180" s="6"/>
    </row>
    <row r="181" spans="1:14" s="1" customFormat="1" x14ac:dyDescent="0.2">
      <c r="A181" s="5"/>
      <c r="B181" s="6"/>
      <c r="C181" s="6"/>
      <c r="D181" s="6"/>
      <c r="E181" s="6"/>
      <c r="F181" s="6"/>
      <c r="G181" s="7"/>
      <c r="H181" s="6"/>
      <c r="I181" s="6"/>
      <c r="J181" s="6"/>
      <c r="K181" s="6"/>
      <c r="L181" s="6"/>
      <c r="M181" s="6"/>
      <c r="N181" s="6"/>
    </row>
    <row r="182" spans="1:14" s="1" customFormat="1" x14ac:dyDescent="0.2">
      <c r="A182" s="5"/>
      <c r="B182" s="6"/>
      <c r="C182" s="6"/>
      <c r="D182" s="6"/>
      <c r="E182" s="6"/>
      <c r="F182" s="6"/>
      <c r="G182" s="7"/>
      <c r="H182" s="6"/>
      <c r="I182" s="6"/>
      <c r="J182" s="6"/>
      <c r="K182" s="6"/>
      <c r="L182" s="6"/>
      <c r="M182" s="6"/>
      <c r="N182" s="6"/>
    </row>
    <row r="183" spans="1:14" s="1" customFormat="1" x14ac:dyDescent="0.2">
      <c r="A183" s="5"/>
      <c r="B183" s="6"/>
      <c r="C183" s="6"/>
      <c r="D183" s="6"/>
      <c r="E183" s="6"/>
      <c r="F183" s="6"/>
      <c r="G183" s="7"/>
      <c r="H183" s="6"/>
      <c r="I183" s="6"/>
      <c r="J183" s="6"/>
      <c r="K183" s="6"/>
      <c r="L183" s="6"/>
      <c r="M183" s="6"/>
      <c r="N183" s="6"/>
    </row>
    <row r="184" spans="1:14" s="1" customFormat="1" x14ac:dyDescent="0.2">
      <c r="A184" s="5"/>
      <c r="B184" s="6"/>
      <c r="C184" s="6"/>
      <c r="D184" s="6"/>
      <c r="E184" s="6"/>
      <c r="F184" s="6"/>
      <c r="G184" s="7"/>
      <c r="H184" s="6"/>
      <c r="I184" s="6"/>
      <c r="J184" s="6"/>
      <c r="K184" s="6"/>
      <c r="L184" s="6"/>
      <c r="M184" s="6"/>
      <c r="N184" s="6"/>
    </row>
    <row r="185" spans="1:14" s="1" customFormat="1" x14ac:dyDescent="0.2">
      <c r="A185" s="5"/>
      <c r="B185" s="6"/>
      <c r="C185" s="6"/>
      <c r="D185" s="6"/>
      <c r="E185" s="6"/>
      <c r="F185" s="6"/>
      <c r="G185" s="7"/>
      <c r="H185" s="6"/>
      <c r="I185" s="6"/>
      <c r="J185" s="6"/>
      <c r="K185" s="6"/>
      <c r="L185" s="6"/>
      <c r="M185" s="6"/>
      <c r="N185" s="6"/>
    </row>
    <row r="186" spans="1:14" s="1" customFormat="1" x14ac:dyDescent="0.2">
      <c r="A186" s="5"/>
      <c r="B186" s="6"/>
      <c r="C186" s="6"/>
      <c r="D186" s="6"/>
      <c r="E186" s="6"/>
      <c r="F186" s="6"/>
      <c r="G186" s="7"/>
      <c r="H186" s="6"/>
      <c r="I186" s="6"/>
      <c r="J186" s="6"/>
      <c r="K186" s="6"/>
      <c r="L186" s="6"/>
      <c r="M186" s="6"/>
      <c r="N186" s="6"/>
    </row>
    <row r="187" spans="1:14" s="1" customFormat="1" x14ac:dyDescent="0.2">
      <c r="A187" s="5"/>
      <c r="B187" s="6"/>
      <c r="C187" s="6"/>
      <c r="D187" s="6"/>
      <c r="E187" s="6"/>
      <c r="F187" s="6"/>
      <c r="G187" s="7"/>
      <c r="H187" s="6"/>
      <c r="I187" s="6"/>
      <c r="J187" s="6"/>
      <c r="K187" s="6"/>
      <c r="L187" s="6"/>
      <c r="M187" s="6"/>
      <c r="N187" s="6"/>
    </row>
    <row r="188" spans="1:14" s="1" customFormat="1" x14ac:dyDescent="0.2">
      <c r="A188" s="5"/>
      <c r="B188" s="6"/>
      <c r="C188" s="6"/>
      <c r="D188" s="6"/>
      <c r="E188" s="6"/>
      <c r="F188" s="6"/>
      <c r="G188" s="7"/>
      <c r="H188" s="6"/>
      <c r="I188" s="6"/>
      <c r="J188" s="6"/>
      <c r="K188" s="6"/>
      <c r="L188" s="6"/>
      <c r="M188" s="6"/>
      <c r="N188" s="6"/>
    </row>
    <row r="189" spans="1:14" s="1" customFormat="1" x14ac:dyDescent="0.2">
      <c r="A189" s="5"/>
      <c r="B189" s="6"/>
      <c r="C189" s="6"/>
      <c r="D189" s="6"/>
      <c r="E189" s="6"/>
      <c r="F189" s="6"/>
      <c r="G189" s="7"/>
      <c r="H189" s="6"/>
      <c r="I189" s="6"/>
      <c r="J189" s="6"/>
      <c r="K189" s="6"/>
      <c r="L189" s="6"/>
      <c r="M189" s="6"/>
      <c r="N189" s="6"/>
    </row>
    <row r="190" spans="1:14" s="1" customFormat="1" x14ac:dyDescent="0.2">
      <c r="A190" s="5"/>
      <c r="B190" s="6"/>
      <c r="C190" s="6"/>
      <c r="D190" s="6"/>
      <c r="E190" s="6"/>
      <c r="F190" s="6"/>
      <c r="G190" s="7"/>
      <c r="H190" s="6"/>
      <c r="I190" s="6"/>
      <c r="J190" s="6"/>
      <c r="K190" s="6"/>
      <c r="L190" s="6"/>
      <c r="M190" s="6"/>
      <c r="N190" s="6"/>
    </row>
    <row r="191" spans="1:14" s="1" customFormat="1" x14ac:dyDescent="0.2">
      <c r="A191" s="5"/>
      <c r="B191" s="6"/>
      <c r="C191" s="6"/>
      <c r="D191" s="6"/>
      <c r="E191" s="6"/>
      <c r="F191" s="6"/>
      <c r="G191" s="7"/>
      <c r="H191" s="6"/>
      <c r="I191" s="6"/>
      <c r="J191" s="6"/>
      <c r="K191" s="6"/>
      <c r="L191" s="6"/>
      <c r="M191" s="6"/>
      <c r="N191" s="6"/>
    </row>
    <row r="192" spans="1:14" s="1" customFormat="1" x14ac:dyDescent="0.2">
      <c r="A192" s="5"/>
      <c r="B192" s="6"/>
      <c r="C192" s="6"/>
      <c r="D192" s="6"/>
      <c r="E192" s="6"/>
      <c r="F192" s="6"/>
      <c r="G192" s="7"/>
      <c r="H192" s="6"/>
      <c r="I192" s="6"/>
      <c r="J192" s="6"/>
      <c r="K192" s="6"/>
      <c r="L192" s="6"/>
      <c r="M192" s="6"/>
      <c r="N192" s="6"/>
    </row>
    <row r="193" spans="1:14" s="1" customFormat="1" x14ac:dyDescent="0.2">
      <c r="A193" s="5"/>
      <c r="B193" s="6"/>
      <c r="C193" s="6"/>
      <c r="D193" s="6"/>
      <c r="E193" s="6"/>
      <c r="F193" s="6"/>
      <c r="G193" s="7"/>
      <c r="H193" s="6"/>
      <c r="I193" s="6"/>
      <c r="J193" s="6"/>
      <c r="K193" s="6"/>
      <c r="L193" s="6"/>
      <c r="M193" s="6"/>
      <c r="N193" s="6"/>
    </row>
    <row r="194" spans="1:14" s="1" customFormat="1" x14ac:dyDescent="0.2">
      <c r="A194" s="5"/>
      <c r="B194" s="6"/>
      <c r="C194" s="6"/>
      <c r="D194" s="6"/>
      <c r="E194" s="6"/>
      <c r="F194" s="6"/>
      <c r="G194" s="7"/>
      <c r="H194" s="6"/>
      <c r="I194" s="6"/>
      <c r="J194" s="6"/>
      <c r="K194" s="6"/>
      <c r="L194" s="6"/>
      <c r="M194" s="6"/>
      <c r="N194" s="6"/>
    </row>
    <row r="195" spans="1:14" s="1" customFormat="1" x14ac:dyDescent="0.2">
      <c r="A195" s="5"/>
      <c r="B195" s="6"/>
      <c r="C195" s="6"/>
      <c r="D195" s="6"/>
      <c r="E195" s="6"/>
      <c r="F195" s="6"/>
      <c r="G195" s="7"/>
      <c r="H195" s="6"/>
      <c r="I195" s="6"/>
      <c r="J195" s="6"/>
      <c r="K195" s="6"/>
      <c r="L195" s="6"/>
      <c r="M195" s="6"/>
      <c r="N195" s="6"/>
    </row>
    <row r="196" spans="1:14" s="1" customFormat="1" x14ac:dyDescent="0.2">
      <c r="A196" s="5"/>
      <c r="B196" s="6"/>
      <c r="C196" s="6"/>
      <c r="D196" s="6"/>
      <c r="E196" s="6"/>
      <c r="F196" s="6"/>
      <c r="G196" s="7"/>
      <c r="H196" s="6"/>
      <c r="I196" s="6"/>
      <c r="J196" s="6"/>
      <c r="K196" s="6"/>
      <c r="L196" s="6"/>
      <c r="M196" s="6"/>
      <c r="N196" s="6"/>
    </row>
    <row r="197" spans="1:14" s="1" customFormat="1" x14ac:dyDescent="0.2">
      <c r="A197" s="5"/>
      <c r="B197" s="6"/>
      <c r="C197" s="6"/>
      <c r="D197" s="6"/>
      <c r="E197" s="6"/>
      <c r="F197" s="6"/>
      <c r="G197" s="7"/>
      <c r="H197" s="6"/>
      <c r="I197" s="6"/>
      <c r="J197" s="6"/>
      <c r="K197" s="6"/>
      <c r="L197" s="6"/>
      <c r="M197" s="6"/>
      <c r="N197" s="6"/>
    </row>
    <row r="198" spans="1:14" s="1" customFormat="1" x14ac:dyDescent="0.2">
      <c r="A198" s="5"/>
      <c r="B198" s="6"/>
      <c r="C198" s="6"/>
      <c r="D198" s="6"/>
      <c r="E198" s="6"/>
      <c r="F198" s="6"/>
      <c r="G198" s="7"/>
      <c r="H198" s="6"/>
      <c r="I198" s="6"/>
      <c r="J198" s="6"/>
      <c r="K198" s="6"/>
      <c r="L198" s="6"/>
      <c r="M198" s="6"/>
      <c r="N198" s="6"/>
    </row>
    <row r="199" spans="1:14" s="1" customFormat="1" x14ac:dyDescent="0.2">
      <c r="A199" s="5"/>
      <c r="B199" s="6"/>
      <c r="C199" s="6"/>
      <c r="D199" s="6"/>
      <c r="E199" s="6"/>
      <c r="F199" s="6"/>
      <c r="G199" s="7"/>
      <c r="H199" s="6"/>
      <c r="I199" s="6"/>
      <c r="J199" s="6"/>
      <c r="K199" s="6"/>
      <c r="L199" s="6"/>
      <c r="M199" s="6"/>
      <c r="N199" s="6"/>
    </row>
    <row r="200" spans="1:14" s="1" customFormat="1" x14ac:dyDescent="0.2">
      <c r="A200" s="5"/>
      <c r="B200" s="6"/>
      <c r="C200" s="6"/>
      <c r="D200" s="6"/>
      <c r="E200" s="6"/>
      <c r="F200" s="6"/>
      <c r="G200" s="7"/>
      <c r="H200" s="6"/>
      <c r="I200" s="6"/>
      <c r="J200" s="6"/>
      <c r="K200" s="6"/>
      <c r="L200" s="6"/>
      <c r="M200" s="6"/>
      <c r="N200" s="6"/>
    </row>
    <row r="201" spans="1:14" s="1" customFormat="1" x14ac:dyDescent="0.2">
      <c r="A201" s="5"/>
      <c r="B201" s="6"/>
      <c r="C201" s="6"/>
      <c r="D201" s="6"/>
      <c r="E201" s="6"/>
      <c r="F201" s="6"/>
      <c r="G201" s="7"/>
      <c r="H201" s="6"/>
      <c r="I201" s="6"/>
      <c r="J201" s="6"/>
      <c r="K201" s="6"/>
      <c r="L201" s="6"/>
      <c r="M201" s="6"/>
      <c r="N201" s="6"/>
    </row>
    <row r="202" spans="1:14" s="1" customFormat="1" x14ac:dyDescent="0.2">
      <c r="A202" s="5"/>
      <c r="B202" s="6"/>
      <c r="C202" s="6"/>
      <c r="D202" s="6"/>
      <c r="E202" s="6"/>
      <c r="F202" s="6"/>
      <c r="G202" s="7"/>
      <c r="H202" s="6"/>
      <c r="I202" s="6"/>
      <c r="J202" s="6"/>
      <c r="K202" s="6"/>
      <c r="L202" s="6"/>
      <c r="M202" s="6"/>
      <c r="N202" s="6"/>
    </row>
    <row r="203" spans="1:14" s="1" customFormat="1" x14ac:dyDescent="0.2">
      <c r="A203" s="5"/>
      <c r="B203" s="6"/>
      <c r="C203" s="6"/>
      <c r="D203" s="6"/>
      <c r="E203" s="6"/>
      <c r="F203" s="6"/>
      <c r="G203" s="7"/>
      <c r="H203" s="6"/>
      <c r="I203" s="6"/>
      <c r="J203" s="6"/>
      <c r="K203" s="6"/>
      <c r="L203" s="6"/>
      <c r="M203" s="6"/>
      <c r="N203" s="6"/>
    </row>
    <row r="204" spans="1:14" s="1" customFormat="1" x14ac:dyDescent="0.2">
      <c r="A204" s="5"/>
      <c r="B204" s="6"/>
      <c r="C204" s="6"/>
      <c r="D204" s="6"/>
      <c r="E204" s="6"/>
      <c r="F204" s="6"/>
      <c r="G204" s="7"/>
      <c r="H204" s="6"/>
      <c r="I204" s="6"/>
      <c r="J204" s="6"/>
      <c r="K204" s="6"/>
      <c r="L204" s="6"/>
      <c r="M204" s="6"/>
      <c r="N204" s="6"/>
    </row>
    <row r="205" spans="1:14" s="1" customFormat="1" x14ac:dyDescent="0.2">
      <c r="A205" s="5"/>
      <c r="B205" s="6"/>
      <c r="C205" s="6"/>
      <c r="D205" s="6"/>
      <c r="E205" s="6"/>
      <c r="F205" s="6"/>
      <c r="G205" s="7"/>
      <c r="H205" s="6"/>
      <c r="I205" s="6"/>
      <c r="J205" s="6"/>
      <c r="K205" s="6"/>
      <c r="L205" s="6"/>
      <c r="M205" s="6"/>
      <c r="N205" s="6"/>
    </row>
    <row r="206" spans="1:14" s="1" customFormat="1" x14ac:dyDescent="0.2">
      <c r="A206" s="5"/>
      <c r="B206" s="6"/>
      <c r="C206" s="6"/>
      <c r="D206" s="6"/>
      <c r="E206" s="6"/>
      <c r="F206" s="6"/>
      <c r="G206" s="7"/>
      <c r="H206" s="6"/>
      <c r="I206" s="6"/>
      <c r="J206" s="6"/>
      <c r="K206" s="6"/>
      <c r="L206" s="6"/>
      <c r="M206" s="6"/>
      <c r="N206" s="6"/>
    </row>
    <row r="207" spans="1:14" s="1" customFormat="1" x14ac:dyDescent="0.2">
      <c r="A207" s="5"/>
      <c r="B207" s="6"/>
      <c r="C207" s="6"/>
      <c r="D207" s="6"/>
      <c r="E207" s="6"/>
      <c r="F207" s="6"/>
      <c r="G207" s="7"/>
      <c r="H207" s="6"/>
      <c r="I207" s="6"/>
      <c r="J207" s="6"/>
      <c r="K207" s="6"/>
      <c r="L207" s="6"/>
      <c r="M207" s="6"/>
      <c r="N207" s="6"/>
    </row>
    <row r="208" spans="1:14" s="1" customFormat="1" x14ac:dyDescent="0.2">
      <c r="A208" s="5"/>
      <c r="B208" s="6"/>
      <c r="C208" s="6"/>
      <c r="D208" s="6"/>
      <c r="E208" s="6"/>
      <c r="F208" s="6"/>
      <c r="G208" s="7"/>
      <c r="H208" s="6"/>
      <c r="I208" s="6"/>
      <c r="J208" s="6"/>
      <c r="K208" s="6"/>
      <c r="L208" s="6"/>
      <c r="M208" s="6"/>
      <c r="N208" s="6"/>
    </row>
    <row r="209" spans="1:14" s="1" customFormat="1" x14ac:dyDescent="0.2">
      <c r="A209" s="5"/>
      <c r="B209" s="6"/>
      <c r="C209" s="6"/>
      <c r="D209" s="6"/>
      <c r="E209" s="6"/>
      <c r="F209" s="6"/>
      <c r="G209" s="7"/>
      <c r="H209" s="6"/>
      <c r="I209" s="6"/>
      <c r="J209" s="6"/>
      <c r="K209" s="6"/>
      <c r="L209" s="6"/>
      <c r="M209" s="6"/>
      <c r="N209" s="6"/>
    </row>
    <row r="210" spans="1:14" s="1" customFormat="1" x14ac:dyDescent="0.2">
      <c r="A210" s="5"/>
      <c r="B210" s="6"/>
      <c r="C210" s="6"/>
      <c r="D210" s="6"/>
      <c r="E210" s="6"/>
      <c r="F210" s="6"/>
      <c r="G210" s="7"/>
      <c r="H210" s="6"/>
      <c r="I210" s="6"/>
      <c r="J210" s="6"/>
      <c r="K210" s="6"/>
      <c r="L210" s="6"/>
      <c r="M210" s="6"/>
      <c r="N210" s="6"/>
    </row>
    <row r="211" spans="1:14" s="1" customFormat="1" x14ac:dyDescent="0.2">
      <c r="A211" s="5"/>
      <c r="B211" s="6"/>
      <c r="C211" s="6"/>
      <c r="D211" s="6"/>
      <c r="E211" s="6"/>
      <c r="F211" s="6"/>
      <c r="G211" s="7"/>
      <c r="H211" s="6"/>
      <c r="I211" s="6"/>
      <c r="J211" s="6"/>
      <c r="K211" s="6"/>
      <c r="L211" s="6"/>
      <c r="M211" s="6"/>
      <c r="N211" s="6"/>
    </row>
    <row r="212" spans="1:14" s="1" customFormat="1" x14ac:dyDescent="0.2">
      <c r="A212" s="5"/>
      <c r="B212" s="6"/>
      <c r="C212" s="6"/>
      <c r="D212" s="6"/>
      <c r="E212" s="6"/>
      <c r="F212" s="6"/>
      <c r="G212" s="7"/>
      <c r="H212" s="6"/>
      <c r="I212" s="6"/>
      <c r="J212" s="6"/>
      <c r="K212" s="6"/>
      <c r="L212" s="6"/>
      <c r="M212" s="6"/>
      <c r="N212" s="6"/>
    </row>
    <row r="213" spans="1:14" s="1" customFormat="1" x14ac:dyDescent="0.2">
      <c r="A213" s="5"/>
      <c r="B213" s="6"/>
      <c r="C213" s="6"/>
      <c r="D213" s="6"/>
      <c r="E213" s="6"/>
      <c r="F213" s="6"/>
      <c r="G213" s="7"/>
      <c r="H213" s="6"/>
      <c r="I213" s="6"/>
      <c r="J213" s="6"/>
      <c r="K213" s="6"/>
      <c r="L213" s="6"/>
      <c r="M213" s="6"/>
      <c r="N213" s="6"/>
    </row>
    <row r="214" spans="1:14" s="1" customFormat="1" x14ac:dyDescent="0.2">
      <c r="A214" s="5"/>
      <c r="B214" s="6"/>
      <c r="C214" s="6"/>
      <c r="D214" s="6"/>
      <c r="E214" s="6"/>
      <c r="F214" s="6"/>
      <c r="G214" s="7"/>
      <c r="H214" s="6"/>
      <c r="I214" s="6"/>
      <c r="J214" s="6"/>
      <c r="K214" s="6"/>
      <c r="L214" s="6"/>
      <c r="M214" s="6"/>
      <c r="N214" s="6"/>
    </row>
  </sheetData>
  <mergeCells count="91">
    <mergeCell ref="D92:D94"/>
    <mergeCell ref="D95:D97"/>
    <mergeCell ref="D74:D76"/>
    <mergeCell ref="D71:D73"/>
    <mergeCell ref="D77:D79"/>
    <mergeCell ref="D80:D82"/>
    <mergeCell ref="D83:D85"/>
    <mergeCell ref="D86:D88"/>
    <mergeCell ref="D89:D91"/>
    <mergeCell ref="A65:G65"/>
    <mergeCell ref="C43:C45"/>
    <mergeCell ref="C46:C48"/>
    <mergeCell ref="C49:C51"/>
    <mergeCell ref="C59:C61"/>
    <mergeCell ref="A58:N58"/>
    <mergeCell ref="A43:A45"/>
    <mergeCell ref="D49:D51"/>
    <mergeCell ref="A52:A54"/>
    <mergeCell ref="B52:B54"/>
    <mergeCell ref="C52:C54"/>
    <mergeCell ref="D52:D54"/>
    <mergeCell ref="A62:G62"/>
    <mergeCell ref="A63:G63"/>
    <mergeCell ref="A64:G64"/>
    <mergeCell ref="A55:G55"/>
    <mergeCell ref="A67:G67"/>
    <mergeCell ref="A49:A51"/>
    <mergeCell ref="E70:G70"/>
    <mergeCell ref="C22:C24"/>
    <mergeCell ref="C25:C30"/>
    <mergeCell ref="C31:C33"/>
    <mergeCell ref="A46:A48"/>
    <mergeCell ref="B46:B48"/>
    <mergeCell ref="D46:D48"/>
    <mergeCell ref="D37:D39"/>
    <mergeCell ref="B43:B45"/>
    <mergeCell ref="B49:B51"/>
    <mergeCell ref="A40:A42"/>
    <mergeCell ref="D28:D30"/>
    <mergeCell ref="A66:G66"/>
    <mergeCell ref="A59:A61"/>
    <mergeCell ref="A8:N8"/>
    <mergeCell ref="A9:N9"/>
    <mergeCell ref="D16:D18"/>
    <mergeCell ref="C10:C12"/>
    <mergeCell ref="C13:C15"/>
    <mergeCell ref="C16:C18"/>
    <mergeCell ref="D10:D12"/>
    <mergeCell ref="A13:A15"/>
    <mergeCell ref="B13:B15"/>
    <mergeCell ref="D13:D15"/>
    <mergeCell ref="A16:A18"/>
    <mergeCell ref="A10:A12"/>
    <mergeCell ref="B10:B12"/>
    <mergeCell ref="G1:N1"/>
    <mergeCell ref="I2:N2"/>
    <mergeCell ref="A4:N4"/>
    <mergeCell ref="A5:A6"/>
    <mergeCell ref="B5:B6"/>
    <mergeCell ref="F5:F6"/>
    <mergeCell ref="D5:D6"/>
    <mergeCell ref="G5:G6"/>
    <mergeCell ref="E5:E6"/>
    <mergeCell ref="H5:N5"/>
    <mergeCell ref="C5:C6"/>
    <mergeCell ref="B31:B33"/>
    <mergeCell ref="D31:D33"/>
    <mergeCell ref="D22:D24"/>
    <mergeCell ref="A25:A30"/>
    <mergeCell ref="B25:B30"/>
    <mergeCell ref="B19:B24"/>
    <mergeCell ref="D19:D21"/>
    <mergeCell ref="C19:C21"/>
    <mergeCell ref="D25:D27"/>
    <mergeCell ref="A31:A33"/>
    <mergeCell ref="A56:G56"/>
    <mergeCell ref="A57:G57"/>
    <mergeCell ref="B59:B61"/>
    <mergeCell ref="D59:D61"/>
    <mergeCell ref="G3:N3"/>
    <mergeCell ref="D40:D42"/>
    <mergeCell ref="D43:D45"/>
    <mergeCell ref="A34:A39"/>
    <mergeCell ref="B34:B39"/>
    <mergeCell ref="D34:D36"/>
    <mergeCell ref="C34:C36"/>
    <mergeCell ref="C37:C39"/>
    <mergeCell ref="C40:C42"/>
    <mergeCell ref="B40:B42"/>
    <mergeCell ref="A19:A24"/>
    <mergeCell ref="B16:B18"/>
  </mergeCells>
  <phoneticPr fontId="7" type="noConversion"/>
  <pageMargins left="0.23622047244094491" right="0.15748031496062992" top="0.47244094488188981" bottom="0.31496062992125984" header="0.19685039370078741" footer="0.19685039370078741"/>
  <pageSetup paperSize="9" scale="63" orientation="landscape" r:id="rId1"/>
  <headerFooter alignWithMargins="0"/>
  <rowBreaks count="2" manualBreakCount="2">
    <brk id="33" max="13" man="1"/>
    <brk id="6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opLeftCell="A19" zoomScale="70" zoomScaleNormal="70" workbookViewId="0">
      <selection activeCell="P8" sqref="P8"/>
    </sheetView>
  </sheetViews>
  <sheetFormatPr defaultRowHeight="15.75" x14ac:dyDescent="0.25"/>
  <cols>
    <col min="1" max="1" width="5.28515625" style="8" customWidth="1"/>
    <col min="2" max="2" width="37.5703125" style="1" customWidth="1"/>
    <col min="3" max="3" width="26.140625" style="1" customWidth="1"/>
    <col min="4" max="4" width="32" style="1" customWidth="1"/>
    <col min="5" max="5" width="32" style="1" hidden="1" customWidth="1"/>
    <col min="6" max="6" width="16.42578125" style="1" hidden="1" customWidth="1"/>
    <col min="7" max="7" width="18.85546875" style="9" customWidth="1"/>
    <col min="8" max="8" width="13.42578125" style="1" hidden="1" customWidth="1"/>
    <col min="9" max="9" width="12.5703125" style="1" customWidth="1"/>
    <col min="10" max="10" width="12.7109375" style="1" hidden="1" customWidth="1"/>
    <col min="11" max="14" width="12.5703125" style="1" hidden="1" customWidth="1"/>
    <col min="15" max="18" width="12.5703125" style="1" customWidth="1"/>
    <col min="19" max="16384" width="9.140625" style="1"/>
  </cols>
  <sheetData>
    <row r="1" spans="1:18" s="50" customFormat="1" ht="12.75" customHeight="1" x14ac:dyDescent="0.2">
      <c r="G1" s="94"/>
      <c r="H1" s="94"/>
      <c r="I1" s="94"/>
      <c r="J1" s="94"/>
      <c r="K1" s="94"/>
      <c r="L1" s="94"/>
      <c r="M1" s="94"/>
      <c r="N1" s="94"/>
      <c r="O1" s="135" t="s">
        <v>80</v>
      </c>
      <c r="P1" s="135"/>
      <c r="Q1" s="66"/>
      <c r="R1" s="66"/>
    </row>
    <row r="2" spans="1:18" ht="38.25" customHeight="1" x14ac:dyDescent="0.2">
      <c r="A2" s="98" t="s">
        <v>112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69"/>
      <c r="R2" s="69"/>
    </row>
    <row r="3" spans="1:18" ht="51" customHeight="1" x14ac:dyDescent="0.2">
      <c r="A3" s="99" t="s">
        <v>2</v>
      </c>
      <c r="B3" s="77" t="s">
        <v>13</v>
      </c>
      <c r="C3" s="77" t="s">
        <v>43</v>
      </c>
      <c r="D3" s="77" t="s">
        <v>35</v>
      </c>
      <c r="E3" s="77" t="s">
        <v>35</v>
      </c>
      <c r="F3" s="77" t="s">
        <v>14</v>
      </c>
      <c r="G3" s="77" t="s">
        <v>36</v>
      </c>
      <c r="H3" s="101" t="s">
        <v>15</v>
      </c>
      <c r="I3" s="102"/>
      <c r="J3" s="102"/>
      <c r="K3" s="102"/>
      <c r="L3" s="102"/>
      <c r="M3" s="102"/>
      <c r="N3" s="102"/>
      <c r="O3" s="102"/>
      <c r="P3" s="103"/>
      <c r="Q3" s="101" t="s">
        <v>132</v>
      </c>
      <c r="R3" s="103"/>
    </row>
    <row r="4" spans="1:18" ht="61.5" customHeight="1" x14ac:dyDescent="0.2">
      <c r="A4" s="99"/>
      <c r="B4" s="77"/>
      <c r="C4" s="77"/>
      <c r="D4" s="77"/>
      <c r="E4" s="77"/>
      <c r="F4" s="77"/>
      <c r="G4" s="100"/>
      <c r="H4" s="42" t="s">
        <v>1</v>
      </c>
      <c r="I4" s="42" t="s">
        <v>109</v>
      </c>
      <c r="J4" s="42" t="s">
        <v>42</v>
      </c>
      <c r="K4" s="42" t="s">
        <v>52</v>
      </c>
      <c r="L4" s="42" t="s">
        <v>58</v>
      </c>
      <c r="M4" s="42" t="s">
        <v>59</v>
      </c>
      <c r="N4" s="42" t="s">
        <v>60</v>
      </c>
      <c r="O4" s="42" t="s">
        <v>110</v>
      </c>
      <c r="P4" s="42" t="s">
        <v>111</v>
      </c>
      <c r="Q4" s="65" t="s">
        <v>110</v>
      </c>
      <c r="R4" s="65" t="s">
        <v>111</v>
      </c>
    </row>
    <row r="5" spans="1:18" x14ac:dyDescent="0.2">
      <c r="A5" s="45" t="s">
        <v>33</v>
      </c>
      <c r="B5" s="42">
        <v>2</v>
      </c>
      <c r="C5" s="42">
        <v>3</v>
      </c>
      <c r="D5" s="42">
        <v>4</v>
      </c>
      <c r="E5" s="42">
        <v>4</v>
      </c>
      <c r="F5" s="42">
        <v>5</v>
      </c>
      <c r="G5" s="42">
        <v>5</v>
      </c>
      <c r="H5" s="42">
        <v>6</v>
      </c>
      <c r="I5" s="42">
        <v>6</v>
      </c>
      <c r="J5" s="42">
        <v>8</v>
      </c>
      <c r="K5" s="42">
        <v>9</v>
      </c>
      <c r="L5" s="42">
        <v>10</v>
      </c>
      <c r="M5" s="42">
        <v>11</v>
      </c>
      <c r="N5" s="42">
        <v>12</v>
      </c>
      <c r="O5" s="42">
        <v>7</v>
      </c>
      <c r="P5" s="42">
        <v>8</v>
      </c>
      <c r="Q5" s="65"/>
      <c r="R5" s="65"/>
    </row>
    <row r="6" spans="1:18" s="2" customFormat="1" ht="29.25" customHeight="1" x14ac:dyDescent="0.2">
      <c r="A6" s="115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15"/>
      <c r="R6" s="15"/>
    </row>
    <row r="7" spans="1:18" s="2" customFormat="1" ht="37.5" customHeight="1" x14ac:dyDescent="0.2">
      <c r="A7" s="115" t="s">
        <v>53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Q7" s="15"/>
      <c r="R7" s="15"/>
    </row>
    <row r="8" spans="1:18" s="2" customFormat="1" ht="42" customHeight="1" x14ac:dyDescent="0.2">
      <c r="A8" s="96" t="s">
        <v>11</v>
      </c>
      <c r="B8" s="97" t="s">
        <v>67</v>
      </c>
      <c r="C8" s="107" t="s">
        <v>79</v>
      </c>
      <c r="D8" s="108" t="s">
        <v>81</v>
      </c>
      <c r="E8" s="16"/>
      <c r="F8" s="16"/>
      <c r="G8" s="15" t="s">
        <v>56</v>
      </c>
      <c r="H8" s="19">
        <f t="shared" ref="H8:P8" si="0">H9+H10</f>
        <v>86818.4</v>
      </c>
      <c r="I8" s="38">
        <f t="shared" si="0"/>
        <v>14631.4</v>
      </c>
      <c r="J8" s="38">
        <f t="shared" si="0"/>
        <v>14437.4</v>
      </c>
      <c r="K8" s="38">
        <f t="shared" si="0"/>
        <v>14437.4</v>
      </c>
      <c r="L8" s="38">
        <f t="shared" si="0"/>
        <v>14437.4</v>
      </c>
      <c r="M8" s="38">
        <f t="shared" si="0"/>
        <v>14437.4</v>
      </c>
      <c r="N8" s="38">
        <f t="shared" si="0"/>
        <v>14437.4</v>
      </c>
      <c r="O8" s="38">
        <f t="shared" si="0"/>
        <v>516.86949000000004</v>
      </c>
      <c r="P8" s="38">
        <f t="shared" si="0"/>
        <v>15148.269490000001</v>
      </c>
      <c r="Q8" s="38"/>
      <c r="R8" s="38"/>
    </row>
    <row r="9" spans="1:18" ht="42.75" customHeight="1" x14ac:dyDescent="0.2">
      <c r="A9" s="96"/>
      <c r="B9" s="97"/>
      <c r="C9" s="107"/>
      <c r="D9" s="108"/>
      <c r="E9" s="46" t="s">
        <v>47</v>
      </c>
      <c r="F9" s="44" t="s">
        <v>25</v>
      </c>
      <c r="G9" s="49" t="s">
        <v>38</v>
      </c>
      <c r="H9" s="18">
        <f>SUM(I9:N9)</f>
        <v>85950</v>
      </c>
      <c r="I9" s="41">
        <f t="shared" ref="I9:N10" si="1">I12+I15+I18+I21+I24+I27</f>
        <v>14485</v>
      </c>
      <c r="J9" s="41">
        <f t="shared" si="1"/>
        <v>14293</v>
      </c>
      <c r="K9" s="41">
        <f t="shared" si="1"/>
        <v>14293</v>
      </c>
      <c r="L9" s="41">
        <f t="shared" si="1"/>
        <v>14293</v>
      </c>
      <c r="M9" s="41">
        <f t="shared" si="1"/>
        <v>14293</v>
      </c>
      <c r="N9" s="41">
        <f t="shared" si="1"/>
        <v>14293</v>
      </c>
      <c r="O9" s="41">
        <f>O12+O15+O18+O21+O24+O27</f>
        <v>523.81617000000006</v>
      </c>
      <c r="P9" s="41">
        <f t="shared" ref="P9:P10" si="2">P12+P15+P18+P21+P24+P27</f>
        <v>15008.81617</v>
      </c>
      <c r="Q9" s="41"/>
      <c r="R9" s="41"/>
    </row>
    <row r="10" spans="1:18" ht="38.25" customHeight="1" x14ac:dyDescent="0.2">
      <c r="A10" s="96"/>
      <c r="B10" s="97"/>
      <c r="C10" s="107"/>
      <c r="D10" s="108"/>
      <c r="E10" s="46"/>
      <c r="F10" s="44"/>
      <c r="G10" s="49" t="s">
        <v>55</v>
      </c>
      <c r="H10" s="18">
        <f>SUM(I10:N10)</f>
        <v>868.4</v>
      </c>
      <c r="I10" s="41">
        <f t="shared" si="1"/>
        <v>146.4</v>
      </c>
      <c r="J10" s="41">
        <f t="shared" si="1"/>
        <v>144.4</v>
      </c>
      <c r="K10" s="41">
        <f t="shared" si="1"/>
        <v>144.4</v>
      </c>
      <c r="L10" s="41">
        <f t="shared" si="1"/>
        <v>144.4</v>
      </c>
      <c r="M10" s="41">
        <f t="shared" si="1"/>
        <v>144.4</v>
      </c>
      <c r="N10" s="41">
        <f t="shared" si="1"/>
        <v>144.4</v>
      </c>
      <c r="O10" s="41">
        <f>O13+O16+O19+O22+O25+O28</f>
        <v>-6.9466799999999971</v>
      </c>
      <c r="P10" s="41">
        <f t="shared" si="2"/>
        <v>139.45332000000002</v>
      </c>
      <c r="Q10" s="41"/>
      <c r="R10" s="41"/>
    </row>
    <row r="11" spans="1:18" x14ac:dyDescent="0.2">
      <c r="A11" s="96" t="s">
        <v>48</v>
      </c>
      <c r="B11" s="97" t="s">
        <v>10</v>
      </c>
      <c r="C11" s="97" t="s">
        <v>68</v>
      </c>
      <c r="D11" s="95" t="s">
        <v>22</v>
      </c>
      <c r="E11" s="46"/>
      <c r="F11" s="44"/>
      <c r="G11" s="15" t="s">
        <v>56</v>
      </c>
      <c r="H11" s="20">
        <f>H12+H13</f>
        <v>19696.8</v>
      </c>
      <c r="I11" s="20">
        <f t="shared" ref="I11:N11" si="3">I12+I13</f>
        <v>3282.8</v>
      </c>
      <c r="J11" s="20">
        <f t="shared" si="3"/>
        <v>3282.8</v>
      </c>
      <c r="K11" s="20">
        <f t="shared" si="3"/>
        <v>3282.8</v>
      </c>
      <c r="L11" s="20">
        <f t="shared" si="3"/>
        <v>3282.8</v>
      </c>
      <c r="M11" s="20">
        <f t="shared" si="3"/>
        <v>3282.8</v>
      </c>
      <c r="N11" s="20">
        <f t="shared" si="3"/>
        <v>3282.8</v>
      </c>
      <c r="O11" s="20"/>
      <c r="P11" s="20">
        <f t="shared" ref="P11" si="4">P12+P13</f>
        <v>3282.8</v>
      </c>
      <c r="Q11" s="20"/>
      <c r="R11" s="20"/>
    </row>
    <row r="12" spans="1:18" ht="31.5" x14ac:dyDescent="0.2">
      <c r="A12" s="96"/>
      <c r="B12" s="97"/>
      <c r="C12" s="97"/>
      <c r="D12" s="95"/>
      <c r="E12" s="44" t="s">
        <v>22</v>
      </c>
      <c r="F12" s="44" t="s">
        <v>0</v>
      </c>
      <c r="G12" s="49" t="s">
        <v>38</v>
      </c>
      <c r="H12" s="18">
        <f>SUM(I12:N12)</f>
        <v>19500</v>
      </c>
      <c r="I12" s="18">
        <v>3250</v>
      </c>
      <c r="J12" s="18">
        <v>3250</v>
      </c>
      <c r="K12" s="18">
        <v>3250</v>
      </c>
      <c r="L12" s="18">
        <v>3250</v>
      </c>
      <c r="M12" s="18">
        <v>3250</v>
      </c>
      <c r="N12" s="18">
        <v>3250</v>
      </c>
      <c r="O12" s="18"/>
      <c r="P12" s="18">
        <v>3250</v>
      </c>
      <c r="Q12" s="18"/>
      <c r="R12" s="18"/>
    </row>
    <row r="13" spans="1:18" x14ac:dyDescent="0.2">
      <c r="A13" s="96"/>
      <c r="B13" s="97"/>
      <c r="C13" s="97"/>
      <c r="D13" s="95"/>
      <c r="E13" s="44"/>
      <c r="F13" s="44"/>
      <c r="G13" s="49" t="s">
        <v>55</v>
      </c>
      <c r="H13" s="18">
        <f>SUM(I13:N13)</f>
        <v>196.8</v>
      </c>
      <c r="I13" s="18">
        <v>32.799999999999997</v>
      </c>
      <c r="J13" s="18">
        <v>32.799999999999997</v>
      </c>
      <c r="K13" s="18">
        <v>32.799999999999997</v>
      </c>
      <c r="L13" s="18">
        <v>32.799999999999997</v>
      </c>
      <c r="M13" s="18">
        <v>32.799999999999997</v>
      </c>
      <c r="N13" s="18">
        <v>32.799999999999997</v>
      </c>
      <c r="O13" s="18"/>
      <c r="P13" s="18">
        <v>32.799999999999997</v>
      </c>
      <c r="Q13" s="18"/>
      <c r="R13" s="18"/>
    </row>
    <row r="14" spans="1:18" ht="26.25" customHeight="1" x14ac:dyDescent="0.2">
      <c r="A14" s="96" t="s">
        <v>19</v>
      </c>
      <c r="B14" s="97" t="s">
        <v>21</v>
      </c>
      <c r="C14" s="95" t="s">
        <v>39</v>
      </c>
      <c r="D14" s="95" t="s">
        <v>16</v>
      </c>
      <c r="E14" s="44"/>
      <c r="F14" s="44"/>
      <c r="G14" s="15" t="s">
        <v>56</v>
      </c>
      <c r="H14" s="20">
        <f>H15+H16</f>
        <v>1097</v>
      </c>
      <c r="I14" s="20">
        <f t="shared" ref="I14:N14" si="5">I15+I16</f>
        <v>344.5</v>
      </c>
      <c r="J14" s="20">
        <f t="shared" si="5"/>
        <v>150.5</v>
      </c>
      <c r="K14" s="20">
        <f t="shared" si="5"/>
        <v>150.5</v>
      </c>
      <c r="L14" s="20">
        <f t="shared" si="5"/>
        <v>150.5</v>
      </c>
      <c r="M14" s="20">
        <f t="shared" si="5"/>
        <v>150.5</v>
      </c>
      <c r="N14" s="20">
        <f t="shared" si="5"/>
        <v>150.5</v>
      </c>
      <c r="O14" s="20"/>
      <c r="P14" s="20">
        <f t="shared" ref="P14" si="6">P15+P16</f>
        <v>344.5</v>
      </c>
      <c r="Q14" s="20"/>
      <c r="R14" s="20"/>
    </row>
    <row r="15" spans="1:18" ht="31.5" x14ac:dyDescent="0.2">
      <c r="A15" s="96"/>
      <c r="B15" s="97"/>
      <c r="C15" s="95"/>
      <c r="D15" s="95"/>
      <c r="E15" s="14" t="s">
        <v>16</v>
      </c>
      <c r="F15" s="44" t="s">
        <v>26</v>
      </c>
      <c r="G15" s="49" t="s">
        <v>38</v>
      </c>
      <c r="H15" s="18">
        <f>SUM(I15:N15)</f>
        <v>1086</v>
      </c>
      <c r="I15" s="18">
        <v>341</v>
      </c>
      <c r="J15" s="18">
        <v>149</v>
      </c>
      <c r="K15" s="18">
        <v>149</v>
      </c>
      <c r="L15" s="18">
        <v>149</v>
      </c>
      <c r="M15" s="18">
        <v>149</v>
      </c>
      <c r="N15" s="18">
        <v>149</v>
      </c>
      <c r="O15" s="18"/>
      <c r="P15" s="18">
        <v>341</v>
      </c>
      <c r="Q15" s="18"/>
      <c r="R15" s="18"/>
    </row>
    <row r="16" spans="1:18" ht="25.5" customHeight="1" x14ac:dyDescent="0.2">
      <c r="A16" s="96"/>
      <c r="B16" s="97"/>
      <c r="C16" s="95"/>
      <c r="D16" s="95"/>
      <c r="E16" s="14"/>
      <c r="F16" s="44"/>
      <c r="G16" s="49" t="s">
        <v>55</v>
      </c>
      <c r="H16" s="18">
        <f>SUM(I16:N16)</f>
        <v>11</v>
      </c>
      <c r="I16" s="18">
        <v>3.5</v>
      </c>
      <c r="J16" s="18">
        <v>1.5</v>
      </c>
      <c r="K16" s="18">
        <v>1.5</v>
      </c>
      <c r="L16" s="18">
        <v>1.5</v>
      </c>
      <c r="M16" s="18">
        <v>1.5</v>
      </c>
      <c r="N16" s="18">
        <v>1.5</v>
      </c>
      <c r="O16" s="18"/>
      <c r="P16" s="18">
        <v>3.5</v>
      </c>
      <c r="Q16" s="18"/>
      <c r="R16" s="18"/>
    </row>
    <row r="17" spans="1:19" x14ac:dyDescent="0.2">
      <c r="A17" s="96" t="s">
        <v>49</v>
      </c>
      <c r="B17" s="90" t="s">
        <v>69</v>
      </c>
      <c r="C17" s="95" t="s">
        <v>68</v>
      </c>
      <c r="D17" s="95" t="s">
        <v>131</v>
      </c>
      <c r="E17" s="14"/>
      <c r="F17" s="44"/>
      <c r="G17" s="15" t="s">
        <v>56</v>
      </c>
      <c r="H17" s="20">
        <f>H18+H19</f>
        <v>2994</v>
      </c>
      <c r="I17" s="20">
        <f t="shared" ref="I17:O17" si="7">I18+I19</f>
        <v>499</v>
      </c>
      <c r="J17" s="20">
        <f t="shared" si="7"/>
        <v>499</v>
      </c>
      <c r="K17" s="20">
        <f t="shared" si="7"/>
        <v>499</v>
      </c>
      <c r="L17" s="20">
        <f t="shared" si="7"/>
        <v>499</v>
      </c>
      <c r="M17" s="20">
        <f t="shared" si="7"/>
        <v>499</v>
      </c>
      <c r="N17" s="20">
        <f t="shared" si="7"/>
        <v>499</v>
      </c>
      <c r="O17" s="20">
        <f t="shared" si="7"/>
        <v>-499</v>
      </c>
      <c r="P17" s="20">
        <f t="shared" ref="P17" si="8">P18+P19</f>
        <v>0</v>
      </c>
      <c r="Q17" s="20"/>
      <c r="R17" s="20"/>
    </row>
    <row r="18" spans="1:19" ht="36" customHeight="1" x14ac:dyDescent="0.2">
      <c r="A18" s="96"/>
      <c r="B18" s="90"/>
      <c r="C18" s="95"/>
      <c r="D18" s="95"/>
      <c r="E18" s="44" t="s">
        <v>44</v>
      </c>
      <c r="F18" s="44" t="s">
        <v>0</v>
      </c>
      <c r="G18" s="49" t="s">
        <v>38</v>
      </c>
      <c r="H18" s="18">
        <f>SUM(I18:N18)</f>
        <v>2964</v>
      </c>
      <c r="I18" s="18">
        <v>494</v>
      </c>
      <c r="J18" s="18">
        <v>494</v>
      </c>
      <c r="K18" s="18">
        <v>494</v>
      </c>
      <c r="L18" s="18">
        <v>494</v>
      </c>
      <c r="M18" s="18">
        <v>494</v>
      </c>
      <c r="N18" s="18">
        <v>494</v>
      </c>
      <c r="O18" s="18">
        <v>-494</v>
      </c>
      <c r="P18" s="18">
        <f>I18+O18</f>
        <v>0</v>
      </c>
      <c r="Q18" s="18"/>
      <c r="R18" s="18"/>
    </row>
    <row r="19" spans="1:19" x14ac:dyDescent="0.2">
      <c r="A19" s="96"/>
      <c r="B19" s="90"/>
      <c r="C19" s="95"/>
      <c r="D19" s="95"/>
      <c r="E19" s="44"/>
      <c r="F19" s="44"/>
      <c r="G19" s="49" t="s">
        <v>55</v>
      </c>
      <c r="H19" s="18">
        <f>SUM(I19:N19)</f>
        <v>30</v>
      </c>
      <c r="I19" s="18">
        <v>5</v>
      </c>
      <c r="J19" s="18">
        <v>5</v>
      </c>
      <c r="K19" s="18">
        <v>5</v>
      </c>
      <c r="L19" s="18">
        <v>5</v>
      </c>
      <c r="M19" s="18">
        <v>5</v>
      </c>
      <c r="N19" s="18">
        <v>5</v>
      </c>
      <c r="O19" s="18">
        <v>-5</v>
      </c>
      <c r="P19" s="18">
        <f>I19+O19</f>
        <v>0</v>
      </c>
      <c r="Q19" s="18"/>
      <c r="R19" s="18"/>
    </row>
    <row r="20" spans="1:19" ht="15.75" customHeight="1" x14ac:dyDescent="0.2">
      <c r="A20" s="96"/>
      <c r="B20" s="90"/>
      <c r="C20" s="95" t="s">
        <v>45</v>
      </c>
      <c r="D20" s="95" t="s">
        <v>45</v>
      </c>
      <c r="E20" s="44"/>
      <c r="F20" s="44"/>
      <c r="G20" s="48" t="s">
        <v>56</v>
      </c>
      <c r="H20" s="20">
        <f>H21+H22</f>
        <v>12121.2</v>
      </c>
      <c r="I20" s="20">
        <f t="shared" ref="I20:N20" si="9">I21+I22</f>
        <v>2020.2</v>
      </c>
      <c r="J20" s="20">
        <f t="shared" si="9"/>
        <v>2020.2</v>
      </c>
      <c r="K20" s="20">
        <f t="shared" si="9"/>
        <v>2020.2</v>
      </c>
      <c r="L20" s="20">
        <f t="shared" si="9"/>
        <v>2020.2</v>
      </c>
      <c r="M20" s="20">
        <f t="shared" si="9"/>
        <v>2020.2</v>
      </c>
      <c r="N20" s="20">
        <f t="shared" si="9"/>
        <v>2020.2</v>
      </c>
      <c r="O20" s="20">
        <f>O21+O22</f>
        <v>-814.82600000000002</v>
      </c>
      <c r="P20" s="20">
        <f t="shared" ref="P20" si="10">P21+P22</f>
        <v>1205.374</v>
      </c>
      <c r="Q20" s="20"/>
      <c r="R20" s="20"/>
    </row>
    <row r="21" spans="1:19" ht="30" customHeight="1" x14ac:dyDescent="0.2">
      <c r="A21" s="96"/>
      <c r="B21" s="90"/>
      <c r="C21" s="95"/>
      <c r="D21" s="95"/>
      <c r="E21" s="44" t="s">
        <v>45</v>
      </c>
      <c r="F21" s="44" t="s">
        <v>20</v>
      </c>
      <c r="G21" s="49" t="s">
        <v>38</v>
      </c>
      <c r="H21" s="18">
        <f>SUM(I21:N21)</f>
        <v>12000</v>
      </c>
      <c r="I21" s="18">
        <v>2000</v>
      </c>
      <c r="J21" s="18">
        <v>2000</v>
      </c>
      <c r="K21" s="18">
        <v>2000</v>
      </c>
      <c r="L21" s="18">
        <v>2000</v>
      </c>
      <c r="M21" s="18">
        <v>2000</v>
      </c>
      <c r="N21" s="18">
        <v>2000</v>
      </c>
      <c r="O21" s="18">
        <v>-794.62599999999998</v>
      </c>
      <c r="P21" s="18">
        <f>I21+O21</f>
        <v>1205.374</v>
      </c>
      <c r="Q21" s="18"/>
      <c r="R21" s="18"/>
    </row>
    <row r="22" spans="1:19" x14ac:dyDescent="0.2">
      <c r="A22" s="96"/>
      <c r="B22" s="90"/>
      <c r="C22" s="95"/>
      <c r="D22" s="95"/>
      <c r="E22" s="44"/>
      <c r="F22" s="44"/>
      <c r="G22" s="49" t="s">
        <v>55</v>
      </c>
      <c r="H22" s="18">
        <f>SUM(I22:N22)</f>
        <v>121.2</v>
      </c>
      <c r="I22" s="18">
        <v>20.2</v>
      </c>
      <c r="J22" s="18">
        <v>20.2</v>
      </c>
      <c r="K22" s="18">
        <v>20.2</v>
      </c>
      <c r="L22" s="18">
        <v>20.2</v>
      </c>
      <c r="M22" s="18">
        <v>20.2</v>
      </c>
      <c r="N22" s="18">
        <v>20.2</v>
      </c>
      <c r="O22" s="18">
        <v>-20.2</v>
      </c>
      <c r="P22" s="18">
        <f>I22+O22</f>
        <v>0</v>
      </c>
      <c r="Q22" s="18"/>
      <c r="R22" s="18"/>
    </row>
    <row r="23" spans="1:19" ht="15.75" customHeight="1" x14ac:dyDescent="0.2">
      <c r="A23" s="96" t="s">
        <v>50</v>
      </c>
      <c r="B23" s="97" t="s">
        <v>23</v>
      </c>
      <c r="C23" s="95" t="s">
        <v>31</v>
      </c>
      <c r="D23" s="95" t="s">
        <v>31</v>
      </c>
      <c r="E23" s="44"/>
      <c r="F23" s="44"/>
      <c r="G23" s="48" t="s">
        <v>56</v>
      </c>
      <c r="H23" s="20">
        <f>H24+H25</f>
        <v>9091.2000000000007</v>
      </c>
      <c r="I23" s="20">
        <f t="shared" ref="I23:N23" si="11">I24+I25</f>
        <v>1515.2</v>
      </c>
      <c r="J23" s="20">
        <f t="shared" si="11"/>
        <v>1515.2</v>
      </c>
      <c r="K23" s="20">
        <f t="shared" si="11"/>
        <v>1515.2</v>
      </c>
      <c r="L23" s="20">
        <f t="shared" si="11"/>
        <v>1515.2</v>
      </c>
      <c r="M23" s="20">
        <f t="shared" si="11"/>
        <v>1515.2</v>
      </c>
      <c r="N23" s="20">
        <f t="shared" si="11"/>
        <v>1515.2</v>
      </c>
      <c r="O23" s="20"/>
      <c r="P23" s="20">
        <f t="shared" ref="P23" si="12">P24+P25</f>
        <v>1515.2</v>
      </c>
      <c r="Q23" s="20"/>
      <c r="R23" s="20"/>
    </row>
    <row r="24" spans="1:19" ht="31.5" x14ac:dyDescent="0.2">
      <c r="A24" s="96"/>
      <c r="B24" s="97"/>
      <c r="C24" s="95"/>
      <c r="D24" s="95"/>
      <c r="E24" s="44" t="s">
        <v>31</v>
      </c>
      <c r="F24" s="44" t="s">
        <v>27</v>
      </c>
      <c r="G24" s="49" t="s">
        <v>38</v>
      </c>
      <c r="H24" s="18">
        <f>SUM(I24:N24)</f>
        <v>9000</v>
      </c>
      <c r="I24" s="18">
        <v>1500</v>
      </c>
      <c r="J24" s="18">
        <v>1500</v>
      </c>
      <c r="K24" s="18">
        <v>1500</v>
      </c>
      <c r="L24" s="18">
        <v>1500</v>
      </c>
      <c r="M24" s="18">
        <v>1500</v>
      </c>
      <c r="N24" s="18">
        <v>1500</v>
      </c>
      <c r="O24" s="18"/>
      <c r="P24" s="18">
        <f>I24+O24</f>
        <v>1500</v>
      </c>
      <c r="Q24" s="18"/>
      <c r="R24" s="18"/>
    </row>
    <row r="25" spans="1:19" x14ac:dyDescent="0.2">
      <c r="A25" s="96"/>
      <c r="B25" s="97"/>
      <c r="C25" s="95"/>
      <c r="D25" s="95"/>
      <c r="E25" s="44"/>
      <c r="F25" s="44"/>
      <c r="G25" s="49" t="s">
        <v>55</v>
      </c>
      <c r="H25" s="18">
        <f>SUM(I25:N25)</f>
        <v>91.2</v>
      </c>
      <c r="I25" s="18">
        <v>15.2</v>
      </c>
      <c r="J25" s="18">
        <v>15.2</v>
      </c>
      <c r="K25" s="18">
        <v>15.2</v>
      </c>
      <c r="L25" s="18">
        <v>15.2</v>
      </c>
      <c r="M25" s="18">
        <v>15.2</v>
      </c>
      <c r="N25" s="18">
        <v>15.2</v>
      </c>
      <c r="O25" s="18"/>
      <c r="P25" s="18">
        <f>I25+O25</f>
        <v>15.2</v>
      </c>
      <c r="Q25" s="18"/>
      <c r="R25" s="18"/>
    </row>
    <row r="26" spans="1:19" x14ac:dyDescent="0.2">
      <c r="A26" s="96"/>
      <c r="B26" s="97"/>
      <c r="C26" s="95"/>
      <c r="D26" s="113" t="s">
        <v>17</v>
      </c>
      <c r="E26" s="44"/>
      <c r="F26" s="44"/>
      <c r="G26" s="48" t="s">
        <v>56</v>
      </c>
      <c r="H26" s="20">
        <f>H27+H28</f>
        <v>41818.199999999997</v>
      </c>
      <c r="I26" s="20">
        <f t="shared" ref="I26:Q26" si="13">I27+I28</f>
        <v>6969.7</v>
      </c>
      <c r="J26" s="20">
        <f t="shared" si="13"/>
        <v>6969.7</v>
      </c>
      <c r="K26" s="20">
        <f t="shared" si="13"/>
        <v>6969.7</v>
      </c>
      <c r="L26" s="20">
        <f t="shared" si="13"/>
        <v>6969.7</v>
      </c>
      <c r="M26" s="20">
        <f t="shared" si="13"/>
        <v>6969.7</v>
      </c>
      <c r="N26" s="20">
        <f t="shared" si="13"/>
        <v>6969.7</v>
      </c>
      <c r="O26" s="20">
        <f t="shared" si="13"/>
        <v>1830.6954900000001</v>
      </c>
      <c r="P26" s="20">
        <f t="shared" si="13"/>
        <v>8800.3954900000008</v>
      </c>
      <c r="Q26" s="20">
        <f t="shared" si="13"/>
        <v>-699.99990000000003</v>
      </c>
      <c r="R26" s="20">
        <f>R27+R28</f>
        <v>8100.3955900000001</v>
      </c>
      <c r="S26" s="76">
        <f>R26-I26</f>
        <v>1130.6955900000003</v>
      </c>
    </row>
    <row r="27" spans="1:19" ht="31.5" x14ac:dyDescent="0.2">
      <c r="A27" s="96"/>
      <c r="B27" s="97"/>
      <c r="C27" s="95"/>
      <c r="D27" s="113"/>
      <c r="E27" s="47" t="s">
        <v>17</v>
      </c>
      <c r="F27" s="44" t="s">
        <v>27</v>
      </c>
      <c r="G27" s="49" t="s">
        <v>38</v>
      </c>
      <c r="H27" s="18">
        <f>SUM(I27:N27)</f>
        <v>41400</v>
      </c>
      <c r="I27" s="18">
        <f>6900</f>
        <v>6900</v>
      </c>
      <c r="J27" s="18">
        <v>6900</v>
      </c>
      <c r="K27" s="18">
        <v>6900</v>
      </c>
      <c r="L27" s="18">
        <v>6900</v>
      </c>
      <c r="M27" s="18">
        <v>6900</v>
      </c>
      <c r="N27" s="18">
        <v>6900</v>
      </c>
      <c r="O27" s="18">
        <f>1964.90119-152.45902</f>
        <v>1812.44217</v>
      </c>
      <c r="P27" s="18">
        <f>O27+I27</f>
        <v>8712.4421700000003</v>
      </c>
      <c r="Q27" s="18">
        <v>-693</v>
      </c>
      <c r="R27" s="18">
        <f>P27+Q27</f>
        <v>8019.4421700000003</v>
      </c>
      <c r="S27" s="76">
        <f t="shared" ref="S27:S46" si="14">R27-I27</f>
        <v>1119.4421700000003</v>
      </c>
    </row>
    <row r="28" spans="1:19" x14ac:dyDescent="0.2">
      <c r="A28" s="96"/>
      <c r="B28" s="97"/>
      <c r="C28" s="95"/>
      <c r="D28" s="113"/>
      <c r="E28" s="47"/>
      <c r="F28" s="44"/>
      <c r="G28" s="49" t="s">
        <v>55</v>
      </c>
      <c r="H28" s="18">
        <f>I28+J28+K28+L28+M28+N28</f>
        <v>418.2</v>
      </c>
      <c r="I28" s="18">
        <f>69.7</f>
        <v>69.7</v>
      </c>
      <c r="J28" s="18">
        <v>69.7</v>
      </c>
      <c r="K28" s="18">
        <v>69.7</v>
      </c>
      <c r="L28" s="18">
        <v>69.7</v>
      </c>
      <c r="M28" s="18">
        <v>69.7</v>
      </c>
      <c r="N28" s="18">
        <v>69.7</v>
      </c>
      <c r="O28" s="18">
        <f>19.79331-1.53999</f>
        <v>18.253320000000002</v>
      </c>
      <c r="P28" s="18">
        <f>O28+I28</f>
        <v>87.953320000000005</v>
      </c>
      <c r="Q28" s="18">
        <v>-6.9999000000000002</v>
      </c>
      <c r="R28" s="18">
        <f>P28+Q28</f>
        <v>80.953420000000008</v>
      </c>
      <c r="S28" s="76">
        <f t="shared" si="14"/>
        <v>11.253420000000006</v>
      </c>
    </row>
    <row r="29" spans="1:19" ht="41.25" customHeight="1" x14ac:dyDescent="0.2">
      <c r="A29" s="96" t="s">
        <v>12</v>
      </c>
      <c r="B29" s="97" t="s">
        <v>24</v>
      </c>
      <c r="C29" s="97" t="s">
        <v>70</v>
      </c>
      <c r="D29" s="95" t="s">
        <v>71</v>
      </c>
      <c r="E29" s="47"/>
      <c r="F29" s="44"/>
      <c r="G29" s="48" t="s">
        <v>56</v>
      </c>
      <c r="H29" s="20">
        <f t="shared" ref="H29:P29" si="15">H30+H31</f>
        <v>2627726.9</v>
      </c>
      <c r="I29" s="20">
        <f t="shared" si="15"/>
        <v>437792.9</v>
      </c>
      <c r="J29" s="20">
        <f t="shared" si="15"/>
        <v>437986.8</v>
      </c>
      <c r="K29" s="20">
        <f t="shared" si="15"/>
        <v>437986.8</v>
      </c>
      <c r="L29" s="20">
        <f t="shared" si="15"/>
        <v>437986.8</v>
      </c>
      <c r="M29" s="20">
        <f t="shared" si="15"/>
        <v>437986.8</v>
      </c>
      <c r="N29" s="20">
        <f t="shared" si="15"/>
        <v>437986.8</v>
      </c>
      <c r="O29" s="20">
        <f t="shared" si="15"/>
        <v>-495.55363999999992</v>
      </c>
      <c r="P29" s="20">
        <f t="shared" si="15"/>
        <v>437297.34635999997</v>
      </c>
      <c r="Q29" s="20"/>
      <c r="R29" s="20"/>
      <c r="S29" s="76"/>
    </row>
    <row r="30" spans="1:19" ht="39.75" customHeight="1" x14ac:dyDescent="0.2">
      <c r="A30" s="96"/>
      <c r="B30" s="97"/>
      <c r="C30" s="97"/>
      <c r="D30" s="95"/>
      <c r="E30" s="44" t="s">
        <v>40</v>
      </c>
      <c r="F30" s="44" t="s">
        <v>28</v>
      </c>
      <c r="G30" s="49" t="s">
        <v>38</v>
      </c>
      <c r="H30" s="18">
        <f>SUM(I30:N30)</f>
        <v>2601450</v>
      </c>
      <c r="I30" s="18">
        <f>I33+I36+I39+I42+I45+I48+I51</f>
        <v>433415</v>
      </c>
      <c r="J30" s="18">
        <f t="shared" ref="J30:O31" si="16">J33+J36+J39+J42+J45+J48+J51</f>
        <v>433607</v>
      </c>
      <c r="K30" s="18">
        <f t="shared" si="16"/>
        <v>433607</v>
      </c>
      <c r="L30" s="18">
        <f t="shared" si="16"/>
        <v>433607</v>
      </c>
      <c r="M30" s="18">
        <f t="shared" si="16"/>
        <v>433607</v>
      </c>
      <c r="N30" s="18">
        <f t="shared" si="16"/>
        <v>433607</v>
      </c>
      <c r="O30" s="18">
        <f t="shared" si="16"/>
        <v>-502.71347999999989</v>
      </c>
      <c r="P30" s="18">
        <f>P33+P36+P39+P42+P45+P48+P51</f>
        <v>432912.28651999997</v>
      </c>
      <c r="Q30" s="18"/>
      <c r="R30" s="18"/>
      <c r="S30" s="76"/>
    </row>
    <row r="31" spans="1:19" ht="28.5" customHeight="1" x14ac:dyDescent="0.2">
      <c r="A31" s="96"/>
      <c r="B31" s="97"/>
      <c r="C31" s="97"/>
      <c r="D31" s="95"/>
      <c r="E31" s="44"/>
      <c r="F31" s="44"/>
      <c r="G31" s="49" t="s">
        <v>55</v>
      </c>
      <c r="H31" s="18">
        <f>SUM(I31:N31)</f>
        <v>26276.899999999998</v>
      </c>
      <c r="I31" s="18">
        <f>I34+I37+I40+I43+I46+I49+I52</f>
        <v>4377.8999999999996</v>
      </c>
      <c r="J31" s="18">
        <f t="shared" si="16"/>
        <v>4379.7999999999993</v>
      </c>
      <c r="K31" s="18">
        <f t="shared" si="16"/>
        <v>4379.8</v>
      </c>
      <c r="L31" s="18">
        <f t="shared" si="16"/>
        <v>4379.8</v>
      </c>
      <c r="M31" s="18">
        <f t="shared" si="16"/>
        <v>4379.8</v>
      </c>
      <c r="N31" s="18">
        <f t="shared" si="16"/>
        <v>4379.8</v>
      </c>
      <c r="O31" s="18">
        <f t="shared" si="16"/>
        <v>7.1598399999999955</v>
      </c>
      <c r="P31" s="18">
        <f>P34+P37+P40+P43+P46+P49+P52</f>
        <v>4385.0598399999999</v>
      </c>
      <c r="Q31" s="18"/>
      <c r="R31" s="18"/>
      <c r="S31" s="76"/>
    </row>
    <row r="32" spans="1:19" ht="22.5" customHeight="1" x14ac:dyDescent="0.2">
      <c r="A32" s="96" t="s">
        <v>6</v>
      </c>
      <c r="B32" s="97" t="s">
        <v>72</v>
      </c>
      <c r="C32" s="97" t="s">
        <v>31</v>
      </c>
      <c r="D32" s="95" t="s">
        <v>17</v>
      </c>
      <c r="E32" s="44"/>
      <c r="F32" s="44"/>
      <c r="G32" s="48" t="s">
        <v>56</v>
      </c>
      <c r="H32" s="20">
        <f>H33+H34</f>
        <v>345533.4</v>
      </c>
      <c r="I32" s="20">
        <f t="shared" ref="I32:R32" si="17">I33+I34</f>
        <v>57588.9</v>
      </c>
      <c r="J32" s="20">
        <f t="shared" si="17"/>
        <v>57588.9</v>
      </c>
      <c r="K32" s="20">
        <f t="shared" si="17"/>
        <v>57588.9</v>
      </c>
      <c r="L32" s="20">
        <f t="shared" si="17"/>
        <v>57588.9</v>
      </c>
      <c r="M32" s="20">
        <f t="shared" si="17"/>
        <v>57588.9</v>
      </c>
      <c r="N32" s="20">
        <f t="shared" si="17"/>
        <v>57588.9</v>
      </c>
      <c r="O32" s="20">
        <f t="shared" si="17"/>
        <v>964.06815000000006</v>
      </c>
      <c r="P32" s="20">
        <f t="shared" si="17"/>
        <v>58552.968150000001</v>
      </c>
      <c r="Q32" s="20">
        <f t="shared" si="17"/>
        <v>586.19710000000009</v>
      </c>
      <c r="R32" s="20">
        <f t="shared" si="17"/>
        <v>59139.165249999998</v>
      </c>
      <c r="S32" s="76">
        <f t="shared" si="14"/>
        <v>1550.2652499999967</v>
      </c>
    </row>
    <row r="33" spans="1:19" ht="27" customHeight="1" x14ac:dyDescent="0.2">
      <c r="A33" s="96"/>
      <c r="B33" s="97"/>
      <c r="C33" s="97"/>
      <c r="D33" s="95"/>
      <c r="E33" s="44" t="s">
        <v>17</v>
      </c>
      <c r="F33" s="44" t="s">
        <v>27</v>
      </c>
      <c r="G33" s="49" t="s">
        <v>38</v>
      </c>
      <c r="H33" s="18">
        <f>SUM(I33:N33)</f>
        <v>342078</v>
      </c>
      <c r="I33" s="18">
        <f>57013</f>
        <v>57013</v>
      </c>
      <c r="J33" s="18">
        <v>57013</v>
      </c>
      <c r="K33" s="18">
        <v>57013</v>
      </c>
      <c r="L33" s="18">
        <v>57013</v>
      </c>
      <c r="M33" s="18">
        <v>57013</v>
      </c>
      <c r="N33" s="18">
        <v>57013</v>
      </c>
      <c r="O33" s="18">
        <f>-346.27596+1288.626</f>
        <v>942.35004000000004</v>
      </c>
      <c r="P33" s="18">
        <f>I33+O33</f>
        <v>57955.350039999998</v>
      </c>
      <c r="Q33" s="18">
        <v>580.33513000000005</v>
      </c>
      <c r="R33" s="18">
        <f>P33+Q33</f>
        <v>58535.685169999997</v>
      </c>
      <c r="S33" s="76">
        <f t="shared" si="14"/>
        <v>1522.685169999997</v>
      </c>
    </row>
    <row r="34" spans="1:19" x14ac:dyDescent="0.2">
      <c r="A34" s="96"/>
      <c r="B34" s="97"/>
      <c r="C34" s="97"/>
      <c r="D34" s="95"/>
      <c r="E34" s="44"/>
      <c r="F34" s="44"/>
      <c r="G34" s="49" t="s">
        <v>55</v>
      </c>
      <c r="H34" s="18">
        <f>SUM(I34:N34)</f>
        <v>3455.4</v>
      </c>
      <c r="I34" s="18">
        <f>575.9</f>
        <v>575.9</v>
      </c>
      <c r="J34" s="18">
        <v>575.9</v>
      </c>
      <c r="K34" s="18">
        <v>575.9</v>
      </c>
      <c r="L34" s="18">
        <v>575.9</v>
      </c>
      <c r="M34" s="18">
        <v>575.9</v>
      </c>
      <c r="N34" s="18">
        <v>575.9</v>
      </c>
      <c r="O34" s="18">
        <f>-3.48189+25.2</f>
        <v>21.718109999999999</v>
      </c>
      <c r="P34" s="18">
        <f>I34+O34</f>
        <v>597.61811</v>
      </c>
      <c r="Q34" s="136">
        <v>5.8619700000000003</v>
      </c>
      <c r="R34" s="18">
        <f>P34+Q34</f>
        <v>603.48008000000004</v>
      </c>
      <c r="S34" s="76">
        <f t="shared" si="14"/>
        <v>27.580080000000066</v>
      </c>
    </row>
    <row r="35" spans="1:19" x14ac:dyDescent="0.2">
      <c r="A35" s="96"/>
      <c r="B35" s="97"/>
      <c r="C35" s="97" t="s">
        <v>68</v>
      </c>
      <c r="D35" s="95" t="s">
        <v>22</v>
      </c>
      <c r="E35" s="44"/>
      <c r="F35" s="44"/>
      <c r="G35" s="48" t="s">
        <v>56</v>
      </c>
      <c r="H35" s="20">
        <f>H36+H37</f>
        <v>5472.1</v>
      </c>
      <c r="I35" s="20">
        <f t="shared" ref="I35:P35" si="18">I36+I37</f>
        <v>912.1</v>
      </c>
      <c r="J35" s="20">
        <f t="shared" si="18"/>
        <v>912</v>
      </c>
      <c r="K35" s="20">
        <f t="shared" si="18"/>
        <v>912</v>
      </c>
      <c r="L35" s="20">
        <f t="shared" si="18"/>
        <v>912</v>
      </c>
      <c r="M35" s="20">
        <f t="shared" si="18"/>
        <v>912</v>
      </c>
      <c r="N35" s="20">
        <f t="shared" si="18"/>
        <v>912</v>
      </c>
      <c r="O35" s="20">
        <f t="shared" si="18"/>
        <v>-592.74175000000002</v>
      </c>
      <c r="P35" s="20">
        <f t="shared" si="18"/>
        <v>319.35825</v>
      </c>
      <c r="Q35" s="20"/>
      <c r="R35" s="20"/>
      <c r="S35" s="76"/>
    </row>
    <row r="36" spans="1:19" ht="31.5" x14ac:dyDescent="0.2">
      <c r="A36" s="96"/>
      <c r="B36" s="97"/>
      <c r="C36" s="97"/>
      <c r="D36" s="95"/>
      <c r="E36" s="44" t="s">
        <v>22</v>
      </c>
      <c r="F36" s="44" t="s">
        <v>0</v>
      </c>
      <c r="G36" s="49" t="s">
        <v>38</v>
      </c>
      <c r="H36" s="18">
        <f>SUM(I36:N36)</f>
        <v>5418</v>
      </c>
      <c r="I36" s="18">
        <f>903</f>
        <v>903</v>
      </c>
      <c r="J36" s="18">
        <f>903</f>
        <v>903</v>
      </c>
      <c r="K36" s="18">
        <v>903</v>
      </c>
      <c r="L36" s="18">
        <v>903</v>
      </c>
      <c r="M36" s="18">
        <v>903</v>
      </c>
      <c r="N36" s="18">
        <v>903</v>
      </c>
      <c r="O36" s="18">
        <v>-586.83533</v>
      </c>
      <c r="P36" s="18">
        <f>I36+O36</f>
        <v>316.16467</v>
      </c>
      <c r="Q36" s="18"/>
      <c r="R36" s="18"/>
      <c r="S36" s="76"/>
    </row>
    <row r="37" spans="1:19" x14ac:dyDescent="0.2">
      <c r="A37" s="96"/>
      <c r="B37" s="97"/>
      <c r="C37" s="97"/>
      <c r="D37" s="95"/>
      <c r="E37" s="44"/>
      <c r="F37" s="44"/>
      <c r="G37" s="49" t="s">
        <v>55</v>
      </c>
      <c r="H37" s="18">
        <f>SUM(I37:N37)</f>
        <v>54.1</v>
      </c>
      <c r="I37" s="18">
        <f>9.1</f>
        <v>9.1</v>
      </c>
      <c r="J37" s="18">
        <f>9</f>
        <v>9</v>
      </c>
      <c r="K37" s="18">
        <v>9</v>
      </c>
      <c r="L37" s="18">
        <v>9</v>
      </c>
      <c r="M37" s="18">
        <v>9</v>
      </c>
      <c r="N37" s="18">
        <v>9</v>
      </c>
      <c r="O37" s="18">
        <v>-5.9064199999999998</v>
      </c>
      <c r="P37" s="18">
        <f>I37+O37</f>
        <v>3.1935799999999999</v>
      </c>
      <c r="Q37" s="18"/>
      <c r="R37" s="18"/>
      <c r="S37" s="76"/>
    </row>
    <row r="38" spans="1:19" ht="30" customHeight="1" x14ac:dyDescent="0.2">
      <c r="A38" s="96" t="s">
        <v>7</v>
      </c>
      <c r="B38" s="97" t="s">
        <v>73</v>
      </c>
      <c r="C38" s="97" t="s">
        <v>31</v>
      </c>
      <c r="D38" s="95" t="s">
        <v>31</v>
      </c>
      <c r="E38" s="44"/>
      <c r="F38" s="44"/>
      <c r="G38" s="48" t="s">
        <v>56</v>
      </c>
      <c r="H38" s="20">
        <f>H39+H40</f>
        <v>317620.2</v>
      </c>
      <c r="I38" s="20">
        <f t="shared" ref="I38:P38" si="19">I39+I40</f>
        <v>49569.7</v>
      </c>
      <c r="J38" s="20">
        <f t="shared" si="19"/>
        <v>53610.1</v>
      </c>
      <c r="K38" s="20">
        <f t="shared" si="19"/>
        <v>53610.1</v>
      </c>
      <c r="L38" s="20">
        <f t="shared" si="19"/>
        <v>53610.1</v>
      </c>
      <c r="M38" s="20">
        <f t="shared" si="19"/>
        <v>53610.1</v>
      </c>
      <c r="N38" s="20">
        <f t="shared" si="19"/>
        <v>53610.1</v>
      </c>
      <c r="O38" s="20">
        <f t="shared" si="19"/>
        <v>4999.9706999999999</v>
      </c>
      <c r="P38" s="20">
        <f t="shared" si="19"/>
        <v>54569.670700000002</v>
      </c>
      <c r="Q38" s="20"/>
      <c r="R38" s="20"/>
      <c r="S38" s="76"/>
    </row>
    <row r="39" spans="1:19" ht="28.5" customHeight="1" x14ac:dyDescent="0.2">
      <c r="A39" s="96"/>
      <c r="B39" s="97"/>
      <c r="C39" s="97"/>
      <c r="D39" s="95"/>
      <c r="E39" s="44" t="s">
        <v>31</v>
      </c>
      <c r="F39" s="44" t="s">
        <v>27</v>
      </c>
      <c r="G39" s="49" t="s">
        <v>38</v>
      </c>
      <c r="H39" s="18">
        <f>SUM(I39:N39)</f>
        <v>314444</v>
      </c>
      <c r="I39" s="18">
        <v>49074</v>
      </c>
      <c r="J39" s="18">
        <v>53074</v>
      </c>
      <c r="K39" s="18">
        <v>53074</v>
      </c>
      <c r="L39" s="18">
        <v>53074</v>
      </c>
      <c r="M39" s="18">
        <v>53074</v>
      </c>
      <c r="N39" s="18">
        <v>53074</v>
      </c>
      <c r="O39" s="18">
        <v>4950</v>
      </c>
      <c r="P39" s="18">
        <f>I39+O39</f>
        <v>54024</v>
      </c>
      <c r="Q39" s="18"/>
      <c r="R39" s="18"/>
      <c r="S39" s="76"/>
    </row>
    <row r="40" spans="1:19" ht="18.75" customHeight="1" x14ac:dyDescent="0.2">
      <c r="A40" s="96"/>
      <c r="B40" s="97"/>
      <c r="C40" s="97"/>
      <c r="D40" s="95"/>
      <c r="E40" s="44"/>
      <c r="F40" s="44"/>
      <c r="G40" s="49" t="s">
        <v>55</v>
      </c>
      <c r="H40" s="18">
        <f>SUM(I40:N40)</f>
        <v>3176.2</v>
      </c>
      <c r="I40" s="18">
        <v>495.7</v>
      </c>
      <c r="J40" s="18">
        <v>536.1</v>
      </c>
      <c r="K40" s="18">
        <v>536.1</v>
      </c>
      <c r="L40" s="18">
        <v>536.1</v>
      </c>
      <c r="M40" s="18">
        <v>536.1</v>
      </c>
      <c r="N40" s="18">
        <v>536.1</v>
      </c>
      <c r="O40" s="18">
        <v>49.970700000000001</v>
      </c>
      <c r="P40" s="18">
        <f>I40+O40</f>
        <v>545.67070000000001</v>
      </c>
      <c r="Q40" s="18"/>
      <c r="R40" s="18"/>
      <c r="S40" s="76"/>
    </row>
    <row r="41" spans="1:19" ht="27" customHeight="1" x14ac:dyDescent="0.2">
      <c r="A41" s="96" t="s">
        <v>8</v>
      </c>
      <c r="B41" s="97" t="s">
        <v>74</v>
      </c>
      <c r="C41" s="97" t="s">
        <v>31</v>
      </c>
      <c r="D41" s="95" t="s">
        <v>17</v>
      </c>
      <c r="E41" s="44"/>
      <c r="F41" s="44"/>
      <c r="G41" s="48" t="s">
        <v>56</v>
      </c>
      <c r="H41" s="20">
        <f>H42+H43</f>
        <v>80946.600000000006</v>
      </c>
      <c r="I41" s="20">
        <f t="shared" ref="I41:R41" si="20">I42+I43</f>
        <v>6268.7</v>
      </c>
      <c r="J41" s="20">
        <f t="shared" si="20"/>
        <v>5732.3</v>
      </c>
      <c r="K41" s="20">
        <f t="shared" si="20"/>
        <v>17236.400000000001</v>
      </c>
      <c r="L41" s="20">
        <f t="shared" si="20"/>
        <v>17236.400000000001</v>
      </c>
      <c r="M41" s="20">
        <f t="shared" si="20"/>
        <v>17236.400000000001</v>
      </c>
      <c r="N41" s="20">
        <f t="shared" si="20"/>
        <v>17236.400000000001</v>
      </c>
      <c r="O41" s="20">
        <f t="shared" si="20"/>
        <v>-4405.5982800000002</v>
      </c>
      <c r="P41" s="20">
        <f t="shared" si="20"/>
        <v>1863.1017199999997</v>
      </c>
      <c r="Q41" s="20">
        <f t="shared" si="20"/>
        <v>-11.74048</v>
      </c>
      <c r="R41" s="20">
        <f t="shared" si="20"/>
        <v>1851.3612399999995</v>
      </c>
      <c r="S41" s="76">
        <f t="shared" si="14"/>
        <v>-4417.3387600000005</v>
      </c>
    </row>
    <row r="42" spans="1:19" ht="36" customHeight="1" x14ac:dyDescent="0.2">
      <c r="A42" s="96"/>
      <c r="B42" s="97"/>
      <c r="C42" s="97"/>
      <c r="D42" s="95"/>
      <c r="E42" s="44" t="s">
        <v>17</v>
      </c>
      <c r="F42" s="44" t="s">
        <v>27</v>
      </c>
      <c r="G42" s="49" t="s">
        <v>38</v>
      </c>
      <c r="H42" s="18">
        <f>SUM(I42:N42)</f>
        <v>80137</v>
      </c>
      <c r="I42" s="18">
        <f>6206</f>
        <v>6206</v>
      </c>
      <c r="J42" s="18">
        <v>5675</v>
      </c>
      <c r="K42" s="18">
        <v>17064</v>
      </c>
      <c r="L42" s="18">
        <v>17064</v>
      </c>
      <c r="M42" s="18">
        <v>17064</v>
      </c>
      <c r="N42" s="18">
        <v>17064</v>
      </c>
      <c r="O42" s="18">
        <v>-4361.5520100000003</v>
      </c>
      <c r="P42" s="18">
        <f>I42+O42</f>
        <v>1844.4479899999997</v>
      </c>
      <c r="Q42" s="18">
        <v>-11.62307</v>
      </c>
      <c r="R42" s="18">
        <f>P42+Q42</f>
        <v>1832.8249199999996</v>
      </c>
      <c r="S42" s="76">
        <f>R42-I42</f>
        <v>-4373.1750800000009</v>
      </c>
    </row>
    <row r="43" spans="1:19" x14ac:dyDescent="0.2">
      <c r="A43" s="96"/>
      <c r="B43" s="97"/>
      <c r="C43" s="97"/>
      <c r="D43" s="95"/>
      <c r="E43" s="44"/>
      <c r="F43" s="44"/>
      <c r="G43" s="49" t="s">
        <v>55</v>
      </c>
      <c r="H43" s="18">
        <f>SUM(I43:N43)</f>
        <v>809.59999999999991</v>
      </c>
      <c r="I43" s="18">
        <f>62.7</f>
        <v>62.7</v>
      </c>
      <c r="J43" s="18">
        <v>57.3</v>
      </c>
      <c r="K43" s="18">
        <v>172.4</v>
      </c>
      <c r="L43" s="18">
        <v>172.4</v>
      </c>
      <c r="M43" s="18">
        <v>172.4</v>
      </c>
      <c r="N43" s="18">
        <v>172.4</v>
      </c>
      <c r="O43" s="18">
        <v>-44.04627</v>
      </c>
      <c r="P43" s="18">
        <f>I43+O43</f>
        <v>18.653730000000003</v>
      </c>
      <c r="Q43" s="18">
        <v>-0.11741</v>
      </c>
      <c r="R43" s="18">
        <f>P43+Q43</f>
        <v>18.536320000000003</v>
      </c>
      <c r="S43" s="76">
        <f t="shared" si="14"/>
        <v>-44.163679999999999</v>
      </c>
    </row>
    <row r="44" spans="1:19" ht="27" customHeight="1" x14ac:dyDescent="0.2">
      <c r="A44" s="96" t="s">
        <v>9</v>
      </c>
      <c r="B44" s="97" t="s">
        <v>75</v>
      </c>
      <c r="C44" s="97" t="s">
        <v>31</v>
      </c>
      <c r="D44" s="95" t="s">
        <v>17</v>
      </c>
      <c r="E44" s="44"/>
      <c r="F44" s="44"/>
      <c r="G44" s="48" t="s">
        <v>56</v>
      </c>
      <c r="H44" s="20">
        <f>H45+H46</f>
        <v>279459.5</v>
      </c>
      <c r="I44" s="20">
        <f t="shared" ref="I44:R44" si="21">I45+I46</f>
        <v>42005</v>
      </c>
      <c r="J44" s="20">
        <f t="shared" si="21"/>
        <v>47490.9</v>
      </c>
      <c r="K44" s="20">
        <f t="shared" si="21"/>
        <v>47490.9</v>
      </c>
      <c r="L44" s="20">
        <f t="shared" si="21"/>
        <v>47490.9</v>
      </c>
      <c r="M44" s="20">
        <f t="shared" si="21"/>
        <v>47490.9</v>
      </c>
      <c r="N44" s="20">
        <f t="shared" si="21"/>
        <v>47490.9</v>
      </c>
      <c r="O44" s="20">
        <f t="shared" si="21"/>
        <v>-5422.7927300000001</v>
      </c>
      <c r="P44" s="20">
        <f t="shared" si="21"/>
        <v>36582.207270000006</v>
      </c>
      <c r="Q44" s="20">
        <f t="shared" si="21"/>
        <v>125.53376</v>
      </c>
      <c r="R44" s="20">
        <f t="shared" si="21"/>
        <v>36707.741030000005</v>
      </c>
      <c r="S44" s="76">
        <f t="shared" si="14"/>
        <v>-5297.2589699999953</v>
      </c>
    </row>
    <row r="45" spans="1:19" ht="38.25" customHeight="1" x14ac:dyDescent="0.2">
      <c r="A45" s="96"/>
      <c r="B45" s="97"/>
      <c r="C45" s="97"/>
      <c r="D45" s="95"/>
      <c r="E45" s="44" t="s">
        <v>17</v>
      </c>
      <c r="F45" s="44" t="s">
        <v>27</v>
      </c>
      <c r="G45" s="49" t="s">
        <v>38</v>
      </c>
      <c r="H45" s="18">
        <f>SUM(I45:N45)</f>
        <v>276665</v>
      </c>
      <c r="I45" s="18">
        <f>41585</f>
        <v>41585</v>
      </c>
      <c r="J45" s="18">
        <v>47016</v>
      </c>
      <c r="K45" s="18">
        <v>47016</v>
      </c>
      <c r="L45" s="18">
        <v>47016</v>
      </c>
      <c r="M45" s="18">
        <v>47016</v>
      </c>
      <c r="N45" s="18">
        <v>47016</v>
      </c>
      <c r="O45" s="18">
        <f>-5277.53661-91.05743</f>
        <v>-5368.5940399999999</v>
      </c>
      <c r="P45" s="18">
        <f>I45+O45</f>
        <v>36216.405960000004</v>
      </c>
      <c r="Q45" s="18">
        <v>124.27842</v>
      </c>
      <c r="R45" s="18">
        <f>P45+Q45</f>
        <v>36340.684380000006</v>
      </c>
      <c r="S45" s="76">
        <f t="shared" si="14"/>
        <v>-5244.3156199999939</v>
      </c>
    </row>
    <row r="46" spans="1:19" ht="29.25" customHeight="1" x14ac:dyDescent="0.2">
      <c r="A46" s="96"/>
      <c r="B46" s="97"/>
      <c r="C46" s="97"/>
      <c r="D46" s="95"/>
      <c r="E46" s="44"/>
      <c r="F46" s="44"/>
      <c r="G46" s="49" t="s">
        <v>55</v>
      </c>
      <c r="H46" s="18">
        <f>SUM(I46:N46)</f>
        <v>2794.5</v>
      </c>
      <c r="I46" s="18">
        <f>420</f>
        <v>420</v>
      </c>
      <c r="J46" s="18">
        <v>474.9</v>
      </c>
      <c r="K46" s="18">
        <v>474.9</v>
      </c>
      <c r="L46" s="18">
        <v>474.9</v>
      </c>
      <c r="M46" s="18">
        <v>474.9</v>
      </c>
      <c r="N46" s="18">
        <v>474.9</v>
      </c>
      <c r="O46" s="18">
        <f>-53.27892-0.91977</f>
        <v>-54.198689999999999</v>
      </c>
      <c r="P46" s="18">
        <f>I46+O46</f>
        <v>365.80131</v>
      </c>
      <c r="Q46" s="136">
        <v>1.2553399999999999</v>
      </c>
      <c r="R46" s="18">
        <f>P46+Q46</f>
        <v>367.05664999999999</v>
      </c>
      <c r="S46" s="76">
        <f t="shared" si="14"/>
        <v>-52.943350000000009</v>
      </c>
    </row>
    <row r="47" spans="1:19" ht="32.25" customHeight="1" x14ac:dyDescent="0.2">
      <c r="A47" s="96" t="s">
        <v>51</v>
      </c>
      <c r="B47" s="97" t="s">
        <v>37</v>
      </c>
      <c r="C47" s="97" t="s">
        <v>31</v>
      </c>
      <c r="D47" s="95" t="s">
        <v>17</v>
      </c>
      <c r="E47" s="44"/>
      <c r="F47" s="44"/>
      <c r="G47" s="48" t="s">
        <v>56</v>
      </c>
      <c r="H47" s="20">
        <f>H48+H49</f>
        <v>1301725.1000000001</v>
      </c>
      <c r="I47" s="20">
        <f t="shared" ref="I47:P47" si="22">I48+I49</f>
        <v>231953.5</v>
      </c>
      <c r="J47" s="20">
        <f t="shared" si="22"/>
        <v>223157.6</v>
      </c>
      <c r="K47" s="20">
        <f t="shared" si="22"/>
        <v>211653.5</v>
      </c>
      <c r="L47" s="20">
        <f t="shared" si="22"/>
        <v>211653.5</v>
      </c>
      <c r="M47" s="20">
        <f t="shared" si="22"/>
        <v>211653.5</v>
      </c>
      <c r="N47" s="20">
        <f t="shared" si="22"/>
        <v>211653.5</v>
      </c>
      <c r="O47" s="20">
        <f t="shared" si="22"/>
        <v>3961.54027</v>
      </c>
      <c r="P47" s="20">
        <f t="shared" si="22"/>
        <v>235915.04027</v>
      </c>
      <c r="Q47" s="20"/>
      <c r="R47" s="20"/>
    </row>
    <row r="48" spans="1:19" ht="42.75" customHeight="1" x14ac:dyDescent="0.2">
      <c r="A48" s="96"/>
      <c r="B48" s="97"/>
      <c r="C48" s="97"/>
      <c r="D48" s="95"/>
      <c r="E48" s="44" t="s">
        <v>17</v>
      </c>
      <c r="F48" s="44" t="s">
        <v>27</v>
      </c>
      <c r="G48" s="49" t="s">
        <v>38</v>
      </c>
      <c r="H48" s="18">
        <f>SUM(I48:N48)</f>
        <v>1288708</v>
      </c>
      <c r="I48" s="21">
        <f>229634</f>
        <v>229634</v>
      </c>
      <c r="J48" s="18">
        <v>220926</v>
      </c>
      <c r="K48" s="18">
        <v>209537</v>
      </c>
      <c r="L48" s="18">
        <v>209537</v>
      </c>
      <c r="M48" s="18">
        <v>209537</v>
      </c>
      <c r="N48" s="18">
        <v>209537</v>
      </c>
      <c r="O48" s="18">
        <f>3070.46339+607.93802+243.51645</f>
        <v>3921.91786</v>
      </c>
      <c r="P48" s="18">
        <f>I48+O48</f>
        <v>233555.91785999999</v>
      </c>
      <c r="Q48" s="18"/>
      <c r="R48" s="18"/>
    </row>
    <row r="49" spans="1:18" ht="24" customHeight="1" x14ac:dyDescent="0.2">
      <c r="A49" s="96"/>
      <c r="B49" s="97"/>
      <c r="C49" s="97"/>
      <c r="D49" s="95"/>
      <c r="E49" s="44"/>
      <c r="F49" s="44"/>
      <c r="G49" s="49" t="s">
        <v>55</v>
      </c>
      <c r="H49" s="18">
        <f>SUM(I49:N49)</f>
        <v>13017.1</v>
      </c>
      <c r="I49" s="21">
        <f>2319.5</f>
        <v>2319.5</v>
      </c>
      <c r="J49" s="21">
        <v>2231.6</v>
      </c>
      <c r="K49" s="21">
        <v>2116.5</v>
      </c>
      <c r="L49" s="21">
        <v>2116.5</v>
      </c>
      <c r="M49" s="21">
        <v>2116.5</v>
      </c>
      <c r="N49" s="21">
        <v>2116.5</v>
      </c>
      <c r="O49" s="21">
        <f>31.04307+6.11958+2.45976</f>
        <v>39.622410000000002</v>
      </c>
      <c r="P49" s="18">
        <f>I49+O49</f>
        <v>2359.1224099999999</v>
      </c>
      <c r="Q49" s="18"/>
      <c r="R49" s="18"/>
    </row>
    <row r="50" spans="1:18" ht="23.25" customHeight="1" x14ac:dyDescent="0.2">
      <c r="A50" s="96" t="s">
        <v>54</v>
      </c>
      <c r="B50" s="97" t="s">
        <v>66</v>
      </c>
      <c r="C50" s="97" t="s">
        <v>32</v>
      </c>
      <c r="D50" s="95" t="s">
        <v>30</v>
      </c>
      <c r="E50" s="44"/>
      <c r="F50" s="44"/>
      <c r="G50" s="48" t="s">
        <v>56</v>
      </c>
      <c r="H50" s="20">
        <f>H51+H52</f>
        <v>296970</v>
      </c>
      <c r="I50" s="20">
        <f t="shared" ref="I50:N50" si="23">I51+I52</f>
        <v>49495</v>
      </c>
      <c r="J50" s="20">
        <f t="shared" si="23"/>
        <v>49495</v>
      </c>
      <c r="K50" s="20">
        <f t="shared" si="23"/>
        <v>49495</v>
      </c>
      <c r="L50" s="20">
        <f t="shared" si="23"/>
        <v>49495</v>
      </c>
      <c r="M50" s="20">
        <f t="shared" si="23"/>
        <v>49495</v>
      </c>
      <c r="N50" s="20">
        <f t="shared" si="23"/>
        <v>49495</v>
      </c>
      <c r="O50" s="20"/>
      <c r="P50" s="20">
        <f t="shared" ref="P50" si="24">P51+P52</f>
        <v>49495</v>
      </c>
      <c r="Q50" s="20"/>
      <c r="R50" s="20"/>
    </row>
    <row r="51" spans="1:18" ht="31.5" x14ac:dyDescent="0.2">
      <c r="A51" s="96"/>
      <c r="B51" s="97"/>
      <c r="C51" s="97"/>
      <c r="D51" s="95"/>
      <c r="E51" s="44" t="s">
        <v>30</v>
      </c>
      <c r="F51" s="44" t="s">
        <v>29</v>
      </c>
      <c r="G51" s="49" t="s">
        <v>38</v>
      </c>
      <c r="H51" s="18">
        <f>SUM(I51:N51)</f>
        <v>294000</v>
      </c>
      <c r="I51" s="18">
        <v>49000</v>
      </c>
      <c r="J51" s="18">
        <v>49000</v>
      </c>
      <c r="K51" s="18">
        <v>49000</v>
      </c>
      <c r="L51" s="18">
        <v>49000</v>
      </c>
      <c r="M51" s="18">
        <v>49000</v>
      </c>
      <c r="N51" s="18">
        <v>49000</v>
      </c>
      <c r="O51" s="18"/>
      <c r="P51" s="18">
        <v>49000</v>
      </c>
      <c r="Q51" s="18"/>
      <c r="R51" s="18"/>
    </row>
    <row r="52" spans="1:18" x14ac:dyDescent="0.2">
      <c r="A52" s="96"/>
      <c r="B52" s="97"/>
      <c r="C52" s="97"/>
      <c r="D52" s="95"/>
      <c r="E52" s="44"/>
      <c r="F52" s="44"/>
      <c r="G52" s="49" t="s">
        <v>55</v>
      </c>
      <c r="H52" s="18">
        <f>SUM(I52:N52)</f>
        <v>2970</v>
      </c>
      <c r="I52" s="18">
        <v>495</v>
      </c>
      <c r="J52" s="18">
        <v>495</v>
      </c>
      <c r="K52" s="18">
        <v>495</v>
      </c>
      <c r="L52" s="18">
        <v>495</v>
      </c>
      <c r="M52" s="18">
        <v>495</v>
      </c>
      <c r="N52" s="18">
        <v>495</v>
      </c>
      <c r="O52" s="18"/>
      <c r="P52" s="18">
        <v>495</v>
      </c>
      <c r="Q52" s="18"/>
      <c r="R52" s="18"/>
    </row>
    <row r="53" spans="1:18" x14ac:dyDescent="0.2">
      <c r="A53" s="134" t="s">
        <v>77</v>
      </c>
      <c r="B53" s="134"/>
      <c r="C53" s="134"/>
      <c r="D53" s="134"/>
      <c r="E53" s="134"/>
      <c r="F53" s="134"/>
      <c r="G53" s="134"/>
      <c r="H53" s="20">
        <f>H54+H55</f>
        <v>2714545.3</v>
      </c>
      <c r="I53" s="20">
        <f t="shared" ref="I53:P53" si="25">I54+I55</f>
        <v>452424.3</v>
      </c>
      <c r="J53" s="20">
        <f t="shared" si="25"/>
        <v>452424.2</v>
      </c>
      <c r="K53" s="20">
        <f t="shared" si="25"/>
        <v>452424.2</v>
      </c>
      <c r="L53" s="20">
        <f t="shared" si="25"/>
        <v>452424.2</v>
      </c>
      <c r="M53" s="20">
        <f t="shared" si="25"/>
        <v>452424.2</v>
      </c>
      <c r="N53" s="20">
        <f t="shared" si="25"/>
        <v>452424.2</v>
      </c>
      <c r="O53" s="20">
        <f t="shared" si="25"/>
        <v>21.315850000000164</v>
      </c>
      <c r="P53" s="20">
        <f t="shared" si="25"/>
        <v>452445.61584999994</v>
      </c>
      <c r="Q53" s="20">
        <f t="shared" ref="Q53:R53" si="26">Q54+Q55</f>
        <v>0</v>
      </c>
      <c r="R53" s="20">
        <f t="shared" si="26"/>
        <v>0</v>
      </c>
    </row>
    <row r="54" spans="1:18" x14ac:dyDescent="0.2">
      <c r="A54" s="134" t="s">
        <v>57</v>
      </c>
      <c r="B54" s="134"/>
      <c r="C54" s="134"/>
      <c r="D54" s="134"/>
      <c r="E54" s="134"/>
      <c r="F54" s="134"/>
      <c r="G54" s="134"/>
      <c r="H54" s="18">
        <f>H9+H30</f>
        <v>2687400</v>
      </c>
      <c r="I54" s="18">
        <f t="shared" ref="I54:P55" si="27">I9+I30</f>
        <v>447900</v>
      </c>
      <c r="J54" s="18">
        <f t="shared" si="27"/>
        <v>447900</v>
      </c>
      <c r="K54" s="18">
        <f t="shared" si="27"/>
        <v>447900</v>
      </c>
      <c r="L54" s="18">
        <f t="shared" si="27"/>
        <v>447900</v>
      </c>
      <c r="M54" s="18">
        <f t="shared" si="27"/>
        <v>447900</v>
      </c>
      <c r="N54" s="18">
        <f t="shared" si="27"/>
        <v>447900</v>
      </c>
      <c r="O54" s="18">
        <f t="shared" si="27"/>
        <v>21.102690000000166</v>
      </c>
      <c r="P54" s="18">
        <f t="shared" si="27"/>
        <v>447921.10268999997</v>
      </c>
      <c r="Q54" s="18">
        <f t="shared" ref="Q54:R54" si="28">Q9+Q30</f>
        <v>0</v>
      </c>
      <c r="R54" s="18">
        <f t="shared" si="28"/>
        <v>0</v>
      </c>
    </row>
    <row r="55" spans="1:18" ht="19.5" customHeight="1" x14ac:dyDescent="0.2">
      <c r="A55" s="134" t="s">
        <v>55</v>
      </c>
      <c r="B55" s="134"/>
      <c r="C55" s="134"/>
      <c r="D55" s="134"/>
      <c r="E55" s="134"/>
      <c r="F55" s="134"/>
      <c r="G55" s="134"/>
      <c r="H55" s="18">
        <f>H10+H31</f>
        <v>27145.3</v>
      </c>
      <c r="I55" s="18">
        <f t="shared" si="27"/>
        <v>4524.2999999999993</v>
      </c>
      <c r="J55" s="18">
        <f t="shared" si="27"/>
        <v>4524.1999999999989</v>
      </c>
      <c r="K55" s="18">
        <f t="shared" si="27"/>
        <v>4524.2</v>
      </c>
      <c r="L55" s="18">
        <f t="shared" si="27"/>
        <v>4524.2</v>
      </c>
      <c r="M55" s="18">
        <f t="shared" si="27"/>
        <v>4524.2</v>
      </c>
      <c r="N55" s="18">
        <f t="shared" si="27"/>
        <v>4524.2</v>
      </c>
      <c r="O55" s="18">
        <f t="shared" si="27"/>
        <v>0.21315999999999846</v>
      </c>
      <c r="P55" s="18">
        <f t="shared" si="27"/>
        <v>4524.5131599999995</v>
      </c>
      <c r="Q55" s="18">
        <f t="shared" ref="Q55:R55" si="29">Q10+Q31</f>
        <v>0</v>
      </c>
      <c r="R55" s="18">
        <f t="shared" si="29"/>
        <v>0</v>
      </c>
    </row>
    <row r="56" spans="1:18" s="4" customFormat="1" ht="30" customHeight="1" x14ac:dyDescent="0.25">
      <c r="A56" s="115" t="s">
        <v>5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7"/>
      <c r="Q56" s="15"/>
      <c r="R56" s="15"/>
    </row>
    <row r="57" spans="1:18" s="4" customFormat="1" ht="47.25" customHeight="1" x14ac:dyDescent="0.25">
      <c r="A57" s="96" t="s">
        <v>46</v>
      </c>
      <c r="B57" s="90" t="s">
        <v>18</v>
      </c>
      <c r="C57" s="90" t="s">
        <v>68</v>
      </c>
      <c r="D57" s="90" t="s">
        <v>76</v>
      </c>
      <c r="E57" s="16"/>
      <c r="F57" s="16"/>
      <c r="G57" s="15" t="s">
        <v>56</v>
      </c>
      <c r="H57" s="19">
        <f>H58+H59</f>
        <v>12727.8</v>
      </c>
      <c r="I57" s="38">
        <f t="shared" ref="I57:P57" si="30">I58+I59</f>
        <v>2121.3000000000002</v>
      </c>
      <c r="J57" s="38">
        <f t="shared" si="30"/>
        <v>2121.3000000000002</v>
      </c>
      <c r="K57" s="38">
        <f t="shared" si="30"/>
        <v>2121.3000000000002</v>
      </c>
      <c r="L57" s="38">
        <f t="shared" si="30"/>
        <v>2121.3000000000002</v>
      </c>
      <c r="M57" s="38">
        <f t="shared" si="30"/>
        <v>2121.3000000000002</v>
      </c>
      <c r="N57" s="38">
        <f t="shared" si="30"/>
        <v>2121.3000000000002</v>
      </c>
      <c r="O57" s="38">
        <f t="shared" si="30"/>
        <v>-21.3</v>
      </c>
      <c r="P57" s="38">
        <f t="shared" si="30"/>
        <v>2100</v>
      </c>
      <c r="Q57" s="38"/>
      <c r="R57" s="38"/>
    </row>
    <row r="58" spans="1:18" ht="49.5" customHeight="1" x14ac:dyDescent="0.2">
      <c r="A58" s="96"/>
      <c r="B58" s="90"/>
      <c r="C58" s="90"/>
      <c r="D58" s="90"/>
      <c r="E58" s="43" t="s">
        <v>41</v>
      </c>
      <c r="F58" s="44" t="s">
        <v>0</v>
      </c>
      <c r="G58" s="49" t="s">
        <v>38</v>
      </c>
      <c r="H58" s="18">
        <f>SUM(I58:N58)</f>
        <v>12600</v>
      </c>
      <c r="I58" s="41">
        <f>2100</f>
        <v>2100</v>
      </c>
      <c r="J58" s="41">
        <v>2100</v>
      </c>
      <c r="K58" s="41">
        <v>2100</v>
      </c>
      <c r="L58" s="41">
        <v>2100</v>
      </c>
      <c r="M58" s="41">
        <v>2100</v>
      </c>
      <c r="N58" s="41">
        <v>2100</v>
      </c>
      <c r="O58" s="41">
        <v>-21.1</v>
      </c>
      <c r="P58" s="41">
        <f>I58+O58</f>
        <v>2078.9</v>
      </c>
      <c r="Q58" s="41"/>
      <c r="R58" s="41"/>
    </row>
    <row r="59" spans="1:18" ht="31.5" customHeight="1" x14ac:dyDescent="0.2">
      <c r="A59" s="96"/>
      <c r="B59" s="90"/>
      <c r="C59" s="90"/>
      <c r="D59" s="90"/>
      <c r="E59" s="43"/>
      <c r="F59" s="44"/>
      <c r="G59" s="49" t="s">
        <v>55</v>
      </c>
      <c r="H59" s="18">
        <f>SUM(I59:N59)</f>
        <v>127.8</v>
      </c>
      <c r="I59" s="41">
        <f>21.3</f>
        <v>21.3</v>
      </c>
      <c r="J59" s="41">
        <v>21.3</v>
      </c>
      <c r="K59" s="41">
        <v>21.3</v>
      </c>
      <c r="L59" s="41">
        <v>21.3</v>
      </c>
      <c r="M59" s="41">
        <v>21.3</v>
      </c>
      <c r="N59" s="41">
        <v>21.3</v>
      </c>
      <c r="O59" s="41">
        <v>-0.2</v>
      </c>
      <c r="P59" s="41">
        <f>I59+O59</f>
        <v>21.1</v>
      </c>
      <c r="Q59" s="41"/>
      <c r="R59" s="41"/>
    </row>
    <row r="60" spans="1:18" x14ac:dyDescent="0.2">
      <c r="A60" s="133" t="s">
        <v>78</v>
      </c>
      <c r="B60" s="133"/>
      <c r="C60" s="133"/>
      <c r="D60" s="133"/>
      <c r="E60" s="133"/>
      <c r="F60" s="133"/>
      <c r="G60" s="133"/>
      <c r="H60" s="20">
        <f>H57</f>
        <v>12727.8</v>
      </c>
      <c r="I60" s="20">
        <f t="shared" ref="I60:P62" si="31">I57</f>
        <v>2121.3000000000002</v>
      </c>
      <c r="J60" s="20">
        <f t="shared" si="31"/>
        <v>2121.3000000000002</v>
      </c>
      <c r="K60" s="20">
        <f t="shared" si="31"/>
        <v>2121.3000000000002</v>
      </c>
      <c r="L60" s="20">
        <f t="shared" si="31"/>
        <v>2121.3000000000002</v>
      </c>
      <c r="M60" s="20">
        <f t="shared" si="31"/>
        <v>2121.3000000000002</v>
      </c>
      <c r="N60" s="20">
        <f t="shared" si="31"/>
        <v>2121.3000000000002</v>
      </c>
      <c r="O60" s="20">
        <f t="shared" si="31"/>
        <v>-21.3</v>
      </c>
      <c r="P60" s="20">
        <f t="shared" si="31"/>
        <v>2100</v>
      </c>
      <c r="Q60" s="20">
        <f t="shared" ref="Q60:R60" si="32">Q57</f>
        <v>0</v>
      </c>
      <c r="R60" s="20">
        <f t="shared" si="32"/>
        <v>0</v>
      </c>
    </row>
    <row r="61" spans="1:18" x14ac:dyDescent="0.2">
      <c r="A61" s="109" t="s">
        <v>57</v>
      </c>
      <c r="B61" s="109"/>
      <c r="C61" s="109"/>
      <c r="D61" s="109"/>
      <c r="E61" s="109"/>
      <c r="F61" s="109"/>
      <c r="G61" s="109"/>
      <c r="H61" s="18">
        <f>H58</f>
        <v>12600</v>
      </c>
      <c r="I61" s="18">
        <f t="shared" si="31"/>
        <v>2100</v>
      </c>
      <c r="J61" s="18">
        <f t="shared" si="31"/>
        <v>2100</v>
      </c>
      <c r="K61" s="18">
        <f t="shared" si="31"/>
        <v>2100</v>
      </c>
      <c r="L61" s="18">
        <f t="shared" si="31"/>
        <v>2100</v>
      </c>
      <c r="M61" s="18">
        <f t="shared" si="31"/>
        <v>2100</v>
      </c>
      <c r="N61" s="18">
        <f t="shared" si="31"/>
        <v>2100</v>
      </c>
      <c r="O61" s="18">
        <f t="shared" si="31"/>
        <v>-21.1</v>
      </c>
      <c r="P61" s="18">
        <f t="shared" si="31"/>
        <v>2078.9</v>
      </c>
      <c r="Q61" s="18">
        <f t="shared" ref="Q61:R61" si="33">Q58</f>
        <v>0</v>
      </c>
      <c r="R61" s="18">
        <f t="shared" si="33"/>
        <v>0</v>
      </c>
    </row>
    <row r="62" spans="1:18" x14ac:dyDescent="0.2">
      <c r="A62" s="109" t="s">
        <v>55</v>
      </c>
      <c r="B62" s="109"/>
      <c r="C62" s="109"/>
      <c r="D62" s="109"/>
      <c r="E62" s="109"/>
      <c r="F62" s="109"/>
      <c r="G62" s="109"/>
      <c r="H62" s="18">
        <f>H59</f>
        <v>127.8</v>
      </c>
      <c r="I62" s="18">
        <f t="shared" si="31"/>
        <v>21.3</v>
      </c>
      <c r="J62" s="18">
        <f t="shared" si="31"/>
        <v>21.3</v>
      </c>
      <c r="K62" s="18">
        <f t="shared" si="31"/>
        <v>21.3</v>
      </c>
      <c r="L62" s="18">
        <f t="shared" si="31"/>
        <v>21.3</v>
      </c>
      <c r="M62" s="18">
        <f t="shared" si="31"/>
        <v>21.3</v>
      </c>
      <c r="N62" s="18">
        <f t="shared" si="31"/>
        <v>21.3</v>
      </c>
      <c r="O62" s="18">
        <f t="shared" si="31"/>
        <v>-0.2</v>
      </c>
      <c r="P62" s="18">
        <f t="shared" si="31"/>
        <v>21.1</v>
      </c>
      <c r="Q62" s="18">
        <f t="shared" ref="Q62:R62" si="34">Q59</f>
        <v>0</v>
      </c>
      <c r="R62" s="18">
        <f t="shared" si="34"/>
        <v>0</v>
      </c>
    </row>
    <row r="63" spans="1:18" x14ac:dyDescent="0.2">
      <c r="A63" s="109" t="s">
        <v>3</v>
      </c>
      <c r="B63" s="109"/>
      <c r="C63" s="109"/>
      <c r="D63" s="109"/>
      <c r="E63" s="109"/>
      <c r="F63" s="109"/>
      <c r="G63" s="109"/>
      <c r="H63" s="20">
        <f>SUM(I63:N63)</f>
        <v>2727273.1</v>
      </c>
      <c r="I63" s="20">
        <f t="shared" ref="I63:P63" si="35">I64+I65</f>
        <v>454545.6</v>
      </c>
      <c r="J63" s="20">
        <f t="shared" si="35"/>
        <v>454545.5</v>
      </c>
      <c r="K63" s="20">
        <f t="shared" si="35"/>
        <v>454545.5</v>
      </c>
      <c r="L63" s="20">
        <f t="shared" si="35"/>
        <v>454545.5</v>
      </c>
      <c r="M63" s="20">
        <f t="shared" si="35"/>
        <v>454545.5</v>
      </c>
      <c r="N63" s="20">
        <f t="shared" si="35"/>
        <v>454545.5</v>
      </c>
      <c r="O63" s="20">
        <f t="shared" si="35"/>
        <v>1.5850000000163067E-2</v>
      </c>
      <c r="P63" s="20">
        <f t="shared" si="35"/>
        <v>454545.61585</v>
      </c>
      <c r="Q63" s="20">
        <f t="shared" ref="Q63:R63" si="36">Q64+Q65</f>
        <v>0</v>
      </c>
      <c r="R63" s="20">
        <f t="shared" si="36"/>
        <v>0</v>
      </c>
    </row>
    <row r="64" spans="1:18" x14ac:dyDescent="0.2">
      <c r="A64" s="109" t="s">
        <v>57</v>
      </c>
      <c r="B64" s="109"/>
      <c r="C64" s="109"/>
      <c r="D64" s="109"/>
      <c r="E64" s="109"/>
      <c r="F64" s="109"/>
      <c r="G64" s="109"/>
      <c r="H64" s="20">
        <f>SUM(I64:N64)</f>
        <v>2700000</v>
      </c>
      <c r="I64" s="20">
        <f t="shared" ref="I64:P65" si="37">I9+I30+I58</f>
        <v>450000</v>
      </c>
      <c r="J64" s="20">
        <f t="shared" si="37"/>
        <v>450000</v>
      </c>
      <c r="K64" s="20">
        <f t="shared" si="37"/>
        <v>450000</v>
      </c>
      <c r="L64" s="20">
        <f t="shared" si="37"/>
        <v>450000</v>
      </c>
      <c r="M64" s="20">
        <f t="shared" si="37"/>
        <v>450000</v>
      </c>
      <c r="N64" s="20">
        <f t="shared" si="37"/>
        <v>450000</v>
      </c>
      <c r="O64" s="20">
        <f t="shared" si="37"/>
        <v>2.6900000001646163E-3</v>
      </c>
      <c r="P64" s="20">
        <f t="shared" si="37"/>
        <v>450000.00268999999</v>
      </c>
      <c r="Q64" s="20">
        <f t="shared" ref="Q64:R64" si="38">Q9+Q30+Q58</f>
        <v>0</v>
      </c>
      <c r="R64" s="20">
        <f t="shared" si="38"/>
        <v>0</v>
      </c>
    </row>
    <row r="65" spans="1:18" x14ac:dyDescent="0.2">
      <c r="A65" s="109" t="s">
        <v>55</v>
      </c>
      <c r="B65" s="109"/>
      <c r="C65" s="109"/>
      <c r="D65" s="109"/>
      <c r="E65" s="109"/>
      <c r="F65" s="109"/>
      <c r="G65" s="109"/>
      <c r="H65" s="20">
        <f>SUM(I65:N65)</f>
        <v>27273.1</v>
      </c>
      <c r="I65" s="20">
        <f t="shared" si="37"/>
        <v>4545.5999999999995</v>
      </c>
      <c r="J65" s="20">
        <f t="shared" si="37"/>
        <v>4545.4999999999991</v>
      </c>
      <c r="K65" s="20">
        <f t="shared" si="37"/>
        <v>4545.5</v>
      </c>
      <c r="L65" s="20">
        <f t="shared" si="37"/>
        <v>4545.5</v>
      </c>
      <c r="M65" s="20">
        <f t="shared" si="37"/>
        <v>4545.5</v>
      </c>
      <c r="N65" s="20">
        <f t="shared" si="37"/>
        <v>4545.5</v>
      </c>
      <c r="O65" s="20">
        <f t="shared" si="37"/>
        <v>1.3159999999998451E-2</v>
      </c>
      <c r="P65" s="20">
        <f t="shared" si="37"/>
        <v>4545.6131599999999</v>
      </c>
      <c r="Q65" s="20">
        <f t="shared" ref="Q65:R65" si="39">Q10+Q31+Q59</f>
        <v>0</v>
      </c>
      <c r="R65" s="20">
        <f t="shared" si="39"/>
        <v>0</v>
      </c>
    </row>
    <row r="66" spans="1:18" x14ac:dyDescent="0.2">
      <c r="A66" s="5"/>
      <c r="B66" s="6"/>
      <c r="C66" s="6"/>
      <c r="D66" s="6"/>
      <c r="E66" s="6"/>
      <c r="F66" s="6"/>
      <c r="G66" s="7"/>
      <c r="H66" s="31"/>
      <c r="I66" s="31">
        <v>450000</v>
      </c>
      <c r="J66" s="31"/>
      <c r="K66" s="31"/>
      <c r="L66" s="31"/>
      <c r="M66" s="31"/>
      <c r="N66" s="31"/>
      <c r="O66" s="31">
        <f>O26+O38+O47</f>
        <v>10792.206459999999</v>
      </c>
      <c r="P66" s="31"/>
      <c r="Q66" s="31"/>
      <c r="R66" s="31"/>
    </row>
    <row r="67" spans="1:18" x14ac:dyDescent="0.2">
      <c r="A67" s="5"/>
      <c r="B67" s="6"/>
      <c r="C67" s="6"/>
      <c r="D67" s="6"/>
      <c r="E67" s="6"/>
      <c r="F67" s="6"/>
      <c r="G67" s="7"/>
      <c r="H67" s="6"/>
      <c r="I67" s="17">
        <v>4545.6000000000004</v>
      </c>
      <c r="J67" s="17"/>
      <c r="K67" s="17"/>
      <c r="L67" s="17"/>
      <c r="M67" s="17"/>
      <c r="N67" s="17"/>
      <c r="O67" s="31">
        <f>O32+O35+O41+O44+O57</f>
        <v>-9478.3646100000005</v>
      </c>
      <c r="P67" s="17"/>
      <c r="Q67" s="17"/>
      <c r="R67" s="17"/>
    </row>
    <row r="68" spans="1:18" x14ac:dyDescent="0.2">
      <c r="A68" s="5"/>
      <c r="B68" s="6"/>
      <c r="C68" s="6"/>
      <c r="D68" s="6"/>
      <c r="E68" s="110"/>
      <c r="F68" s="110"/>
      <c r="G68" s="1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29.25" customHeight="1" x14ac:dyDescent="0.2">
      <c r="A69" s="5"/>
      <c r="B69" s="6"/>
      <c r="C69" s="6"/>
      <c r="D69" s="132" t="s">
        <v>0</v>
      </c>
      <c r="E69" s="15" t="s">
        <v>56</v>
      </c>
      <c r="F69" s="15" t="s">
        <v>56</v>
      </c>
      <c r="G69" s="24" t="s">
        <v>56</v>
      </c>
      <c r="H69" s="25">
        <f t="shared" ref="H69:P71" si="40">H17</f>
        <v>2994</v>
      </c>
      <c r="I69" s="25">
        <f t="shared" si="40"/>
        <v>499</v>
      </c>
      <c r="J69" s="25">
        <f t="shared" si="40"/>
        <v>499</v>
      </c>
      <c r="K69" s="25">
        <f t="shared" si="40"/>
        <v>499</v>
      </c>
      <c r="L69" s="25">
        <f t="shared" si="40"/>
        <v>499</v>
      </c>
      <c r="M69" s="25">
        <f t="shared" si="40"/>
        <v>499</v>
      </c>
      <c r="N69" s="25">
        <f t="shared" si="40"/>
        <v>499</v>
      </c>
      <c r="O69" s="25">
        <f t="shared" si="40"/>
        <v>-499</v>
      </c>
      <c r="P69" s="25">
        <f t="shared" si="40"/>
        <v>0</v>
      </c>
      <c r="Q69" s="70"/>
      <c r="R69" s="70"/>
    </row>
    <row r="70" spans="1:18" ht="29.25" customHeight="1" x14ac:dyDescent="0.2">
      <c r="A70" s="5"/>
      <c r="B70" s="6"/>
      <c r="C70" s="6"/>
      <c r="D70" s="132"/>
      <c r="E70" s="49" t="s">
        <v>38</v>
      </c>
      <c r="F70" s="49" t="s">
        <v>38</v>
      </c>
      <c r="G70" s="49" t="s">
        <v>38</v>
      </c>
      <c r="H70" s="22">
        <f t="shared" si="40"/>
        <v>2964</v>
      </c>
      <c r="I70" s="22">
        <f t="shared" si="40"/>
        <v>494</v>
      </c>
      <c r="J70" s="22">
        <f t="shared" si="40"/>
        <v>494</v>
      </c>
      <c r="K70" s="22">
        <f t="shared" si="40"/>
        <v>494</v>
      </c>
      <c r="L70" s="22">
        <f t="shared" si="40"/>
        <v>494</v>
      </c>
      <c r="M70" s="22">
        <f t="shared" si="40"/>
        <v>494</v>
      </c>
      <c r="N70" s="22">
        <f t="shared" si="40"/>
        <v>494</v>
      </c>
      <c r="O70" s="22">
        <f t="shared" si="40"/>
        <v>-494</v>
      </c>
      <c r="P70" s="22">
        <f t="shared" si="40"/>
        <v>0</v>
      </c>
      <c r="Q70" s="71"/>
      <c r="R70" s="71"/>
    </row>
    <row r="71" spans="1:18" ht="29.25" customHeight="1" x14ac:dyDescent="0.2">
      <c r="A71" s="5"/>
      <c r="B71" s="6"/>
      <c r="C71" s="6"/>
      <c r="D71" s="132"/>
      <c r="E71" s="49" t="s">
        <v>55</v>
      </c>
      <c r="F71" s="49" t="s">
        <v>55</v>
      </c>
      <c r="G71" s="49" t="s">
        <v>55</v>
      </c>
      <c r="H71" s="22">
        <f t="shared" si="40"/>
        <v>30</v>
      </c>
      <c r="I71" s="22">
        <f t="shared" si="40"/>
        <v>5</v>
      </c>
      <c r="J71" s="22">
        <f t="shared" si="40"/>
        <v>5</v>
      </c>
      <c r="K71" s="22">
        <f t="shared" si="40"/>
        <v>5</v>
      </c>
      <c r="L71" s="22">
        <f t="shared" si="40"/>
        <v>5</v>
      </c>
      <c r="M71" s="22">
        <f t="shared" si="40"/>
        <v>5</v>
      </c>
      <c r="N71" s="22">
        <f t="shared" si="40"/>
        <v>5</v>
      </c>
      <c r="O71" s="22">
        <f t="shared" si="40"/>
        <v>-5</v>
      </c>
      <c r="P71" s="22">
        <f t="shared" si="40"/>
        <v>0</v>
      </c>
      <c r="Q71" s="71"/>
      <c r="R71" s="71"/>
    </row>
    <row r="72" spans="1:18" ht="24.75" customHeight="1" x14ac:dyDescent="0.2">
      <c r="A72" s="5"/>
      <c r="B72" s="6"/>
      <c r="C72" s="6"/>
      <c r="D72" s="132" t="s">
        <v>61</v>
      </c>
      <c r="E72" s="15" t="s">
        <v>56</v>
      </c>
      <c r="F72" s="15" t="s">
        <v>56</v>
      </c>
      <c r="G72" s="24" t="s">
        <v>56</v>
      </c>
      <c r="H72" s="25">
        <f t="shared" ref="H72:P74" si="41">H11+H35</f>
        <v>25168.9</v>
      </c>
      <c r="I72" s="25">
        <f t="shared" si="41"/>
        <v>4194.9000000000005</v>
      </c>
      <c r="J72" s="25">
        <f t="shared" si="41"/>
        <v>4194.8</v>
      </c>
      <c r="K72" s="25">
        <f t="shared" si="41"/>
        <v>4194.8</v>
      </c>
      <c r="L72" s="25">
        <f t="shared" si="41"/>
        <v>4194.8</v>
      </c>
      <c r="M72" s="25">
        <f t="shared" si="41"/>
        <v>4194.8</v>
      </c>
      <c r="N72" s="25">
        <f t="shared" si="41"/>
        <v>4194.8</v>
      </c>
      <c r="O72" s="25">
        <f t="shared" si="41"/>
        <v>-592.74175000000002</v>
      </c>
      <c r="P72" s="25">
        <f t="shared" si="41"/>
        <v>3602.1582500000004</v>
      </c>
      <c r="Q72" s="70"/>
      <c r="R72" s="70"/>
    </row>
    <row r="73" spans="1:18" ht="30" customHeight="1" x14ac:dyDescent="0.2">
      <c r="A73" s="5"/>
      <c r="B73" s="6"/>
      <c r="C73" s="6"/>
      <c r="D73" s="132"/>
      <c r="E73" s="49" t="s">
        <v>38</v>
      </c>
      <c r="F73" s="49" t="s">
        <v>38</v>
      </c>
      <c r="G73" s="49" t="s">
        <v>38</v>
      </c>
      <c r="H73" s="22">
        <f t="shared" si="41"/>
        <v>24918</v>
      </c>
      <c r="I73" s="22">
        <f t="shared" si="41"/>
        <v>4153</v>
      </c>
      <c r="J73" s="22">
        <f t="shared" si="41"/>
        <v>4153</v>
      </c>
      <c r="K73" s="22">
        <f t="shared" si="41"/>
        <v>4153</v>
      </c>
      <c r="L73" s="22">
        <f t="shared" si="41"/>
        <v>4153</v>
      </c>
      <c r="M73" s="22">
        <f t="shared" si="41"/>
        <v>4153</v>
      </c>
      <c r="N73" s="22">
        <f t="shared" si="41"/>
        <v>4153</v>
      </c>
      <c r="O73" s="22">
        <f t="shared" si="41"/>
        <v>-586.83533</v>
      </c>
      <c r="P73" s="22">
        <f t="shared" si="41"/>
        <v>3566.1646700000001</v>
      </c>
      <c r="Q73" s="71"/>
      <c r="R73" s="71"/>
    </row>
    <row r="74" spans="1:18" ht="27.75" customHeight="1" x14ac:dyDescent="0.2">
      <c r="A74" s="5"/>
      <c r="B74" s="6"/>
      <c r="C74" s="6"/>
      <c r="D74" s="132"/>
      <c r="E74" s="49" t="s">
        <v>55</v>
      </c>
      <c r="F74" s="49" t="s">
        <v>55</v>
      </c>
      <c r="G74" s="49" t="s">
        <v>55</v>
      </c>
      <c r="H74" s="22">
        <f t="shared" si="41"/>
        <v>250.9</v>
      </c>
      <c r="I74" s="22">
        <f t="shared" si="41"/>
        <v>41.9</v>
      </c>
      <c r="J74" s="22">
        <f t="shared" si="41"/>
        <v>41.8</v>
      </c>
      <c r="K74" s="22">
        <f t="shared" si="41"/>
        <v>41.8</v>
      </c>
      <c r="L74" s="22">
        <f t="shared" si="41"/>
        <v>41.8</v>
      </c>
      <c r="M74" s="22">
        <f t="shared" si="41"/>
        <v>41.8</v>
      </c>
      <c r="N74" s="22">
        <f t="shared" si="41"/>
        <v>41.8</v>
      </c>
      <c r="O74" s="22">
        <f t="shared" si="41"/>
        <v>-5.9064199999999998</v>
      </c>
      <c r="P74" s="22">
        <f t="shared" si="41"/>
        <v>35.993579999999994</v>
      </c>
      <c r="Q74" s="71"/>
      <c r="R74" s="71"/>
    </row>
    <row r="75" spans="1:18" ht="24.75" customHeight="1" x14ac:dyDescent="0.2">
      <c r="A75" s="5"/>
      <c r="B75" s="6"/>
      <c r="C75" s="6"/>
      <c r="D75" s="132" t="s">
        <v>62</v>
      </c>
      <c r="E75" s="15" t="s">
        <v>56</v>
      </c>
      <c r="F75" s="15" t="s">
        <v>56</v>
      </c>
      <c r="G75" s="24" t="s">
        <v>56</v>
      </c>
      <c r="H75" s="26">
        <f t="shared" ref="H75:P77" si="42">H57</f>
        <v>12727.8</v>
      </c>
      <c r="I75" s="26">
        <f t="shared" si="42"/>
        <v>2121.3000000000002</v>
      </c>
      <c r="J75" s="26">
        <f t="shared" si="42"/>
        <v>2121.3000000000002</v>
      </c>
      <c r="K75" s="26">
        <f t="shared" si="42"/>
        <v>2121.3000000000002</v>
      </c>
      <c r="L75" s="26">
        <f t="shared" si="42"/>
        <v>2121.3000000000002</v>
      </c>
      <c r="M75" s="26">
        <f t="shared" si="42"/>
        <v>2121.3000000000002</v>
      </c>
      <c r="N75" s="26">
        <f t="shared" si="42"/>
        <v>2121.3000000000002</v>
      </c>
      <c r="O75" s="26">
        <f t="shared" si="42"/>
        <v>-21.3</v>
      </c>
      <c r="P75" s="26">
        <f t="shared" si="42"/>
        <v>2100</v>
      </c>
      <c r="Q75" s="72"/>
      <c r="R75" s="72"/>
    </row>
    <row r="76" spans="1:18" ht="24.75" customHeight="1" x14ac:dyDescent="0.2">
      <c r="A76" s="5"/>
      <c r="B76" s="6"/>
      <c r="C76" s="6"/>
      <c r="D76" s="132"/>
      <c r="E76" s="49" t="s">
        <v>38</v>
      </c>
      <c r="F76" s="49" t="s">
        <v>38</v>
      </c>
      <c r="G76" s="49" t="s">
        <v>38</v>
      </c>
      <c r="H76" s="23">
        <f t="shared" si="42"/>
        <v>12600</v>
      </c>
      <c r="I76" s="23">
        <f t="shared" si="42"/>
        <v>2100</v>
      </c>
      <c r="J76" s="23">
        <f t="shared" si="42"/>
        <v>2100</v>
      </c>
      <c r="K76" s="23">
        <f t="shared" si="42"/>
        <v>2100</v>
      </c>
      <c r="L76" s="23">
        <f t="shared" si="42"/>
        <v>2100</v>
      </c>
      <c r="M76" s="23">
        <f t="shared" si="42"/>
        <v>2100</v>
      </c>
      <c r="N76" s="23">
        <f t="shared" si="42"/>
        <v>2100</v>
      </c>
      <c r="O76" s="23">
        <f t="shared" si="42"/>
        <v>-21.1</v>
      </c>
      <c r="P76" s="23">
        <f t="shared" si="42"/>
        <v>2078.9</v>
      </c>
      <c r="Q76" s="73"/>
      <c r="R76" s="73"/>
    </row>
    <row r="77" spans="1:18" ht="24.75" customHeight="1" x14ac:dyDescent="0.2">
      <c r="A77" s="5"/>
      <c r="B77" s="6"/>
      <c r="C77" s="6"/>
      <c r="D77" s="132"/>
      <c r="E77" s="49" t="s">
        <v>55</v>
      </c>
      <c r="F77" s="49" t="s">
        <v>55</v>
      </c>
      <c r="G77" s="49" t="s">
        <v>55</v>
      </c>
      <c r="H77" s="23">
        <f t="shared" si="42"/>
        <v>127.8</v>
      </c>
      <c r="I77" s="23">
        <f t="shared" si="42"/>
        <v>21.3</v>
      </c>
      <c r="J77" s="23">
        <f t="shared" si="42"/>
        <v>21.3</v>
      </c>
      <c r="K77" s="23">
        <f t="shared" si="42"/>
        <v>21.3</v>
      </c>
      <c r="L77" s="23">
        <f t="shared" si="42"/>
        <v>21.3</v>
      </c>
      <c r="M77" s="23">
        <f t="shared" si="42"/>
        <v>21.3</v>
      </c>
      <c r="N77" s="23">
        <f t="shared" si="42"/>
        <v>21.3</v>
      </c>
      <c r="O77" s="23">
        <f t="shared" si="42"/>
        <v>-0.2</v>
      </c>
      <c r="P77" s="23">
        <f t="shared" si="42"/>
        <v>21.1</v>
      </c>
      <c r="Q77" s="73"/>
      <c r="R77" s="73"/>
    </row>
    <row r="78" spans="1:18" ht="22.5" customHeight="1" x14ac:dyDescent="0.2">
      <c r="A78" s="5"/>
      <c r="B78" s="6"/>
      <c r="C78" s="6"/>
      <c r="D78" s="131" t="s">
        <v>63</v>
      </c>
      <c r="E78" s="15" t="s">
        <v>56</v>
      </c>
      <c r="F78" s="15" t="s">
        <v>56</v>
      </c>
      <c r="G78" s="27" t="s">
        <v>56</v>
      </c>
      <c r="H78" s="28">
        <f>H79+H80</f>
        <v>40890.699999999997</v>
      </c>
      <c r="I78" s="28">
        <f t="shared" ref="I78:P78" si="43">I79+I80</f>
        <v>6815.2</v>
      </c>
      <c r="J78" s="28">
        <f t="shared" si="43"/>
        <v>6815.1</v>
      </c>
      <c r="K78" s="28">
        <f t="shared" si="43"/>
        <v>6815.1</v>
      </c>
      <c r="L78" s="28">
        <f t="shared" si="43"/>
        <v>6815.1</v>
      </c>
      <c r="M78" s="28">
        <f t="shared" si="43"/>
        <v>6815.1</v>
      </c>
      <c r="N78" s="28">
        <f t="shared" si="43"/>
        <v>6815.1</v>
      </c>
      <c r="O78" s="28">
        <f t="shared" si="43"/>
        <v>-1113.0417499999999</v>
      </c>
      <c r="P78" s="28">
        <f t="shared" si="43"/>
        <v>5702.1582499999995</v>
      </c>
      <c r="Q78" s="74"/>
      <c r="R78" s="74"/>
    </row>
    <row r="79" spans="1:18" ht="30" customHeight="1" x14ac:dyDescent="0.2">
      <c r="A79" s="5"/>
      <c r="B79" s="6"/>
      <c r="C79" s="6"/>
      <c r="D79" s="131"/>
      <c r="E79" s="49" t="s">
        <v>38</v>
      </c>
      <c r="F79" s="49" t="s">
        <v>38</v>
      </c>
      <c r="G79" s="49" t="s">
        <v>38</v>
      </c>
      <c r="H79" s="23">
        <f>I79+J79+K79+L79+M79+N79</f>
        <v>40482</v>
      </c>
      <c r="I79" s="23">
        <f t="shared" ref="I79:P80" si="44">I70+I73+I76</f>
        <v>6747</v>
      </c>
      <c r="J79" s="23">
        <f t="shared" si="44"/>
        <v>6747</v>
      </c>
      <c r="K79" s="23">
        <f t="shared" si="44"/>
        <v>6747</v>
      </c>
      <c r="L79" s="23">
        <f t="shared" si="44"/>
        <v>6747</v>
      </c>
      <c r="M79" s="23">
        <f t="shared" si="44"/>
        <v>6747</v>
      </c>
      <c r="N79" s="23">
        <f t="shared" si="44"/>
        <v>6747</v>
      </c>
      <c r="O79" s="23">
        <f t="shared" si="44"/>
        <v>-1101.9353299999998</v>
      </c>
      <c r="P79" s="23">
        <f t="shared" si="44"/>
        <v>5645.0646699999998</v>
      </c>
      <c r="Q79" s="73"/>
      <c r="R79" s="73"/>
    </row>
    <row r="80" spans="1:18" ht="16.5" customHeight="1" x14ac:dyDescent="0.2">
      <c r="A80" s="5"/>
      <c r="B80" s="6"/>
      <c r="C80" s="6"/>
      <c r="D80" s="131"/>
      <c r="E80" s="49" t="s">
        <v>55</v>
      </c>
      <c r="F80" s="49" t="s">
        <v>55</v>
      </c>
      <c r="G80" s="49" t="s">
        <v>55</v>
      </c>
      <c r="H80" s="23">
        <f>I80+J80+K80+L80+M80+N80</f>
        <v>408.70000000000005</v>
      </c>
      <c r="I80" s="23">
        <f t="shared" si="44"/>
        <v>68.2</v>
      </c>
      <c r="J80" s="23">
        <f t="shared" si="44"/>
        <v>68.099999999999994</v>
      </c>
      <c r="K80" s="23">
        <f t="shared" si="44"/>
        <v>68.099999999999994</v>
      </c>
      <c r="L80" s="23">
        <f t="shared" si="44"/>
        <v>68.099999999999994</v>
      </c>
      <c r="M80" s="23">
        <f t="shared" si="44"/>
        <v>68.099999999999994</v>
      </c>
      <c r="N80" s="23">
        <f t="shared" si="44"/>
        <v>68.099999999999994</v>
      </c>
      <c r="O80" s="23">
        <f t="shared" si="44"/>
        <v>-11.10642</v>
      </c>
      <c r="P80" s="23">
        <f t="shared" si="44"/>
        <v>57.093579999999996</v>
      </c>
      <c r="Q80" s="73"/>
      <c r="R80" s="73"/>
    </row>
    <row r="81" spans="1:18" ht="18" customHeight="1" x14ac:dyDescent="0.2">
      <c r="A81" s="5"/>
      <c r="B81" s="6"/>
      <c r="C81" s="6"/>
      <c r="D81" s="131" t="s">
        <v>64</v>
      </c>
      <c r="E81" s="15" t="s">
        <v>56</v>
      </c>
      <c r="F81" s="15" t="s">
        <v>56</v>
      </c>
      <c r="G81" s="27" t="s">
        <v>56</v>
      </c>
      <c r="H81" s="28">
        <f t="shared" ref="H81:P83" si="45">H14</f>
        <v>1097</v>
      </c>
      <c r="I81" s="28">
        <f t="shared" si="45"/>
        <v>344.5</v>
      </c>
      <c r="J81" s="28">
        <f t="shared" si="45"/>
        <v>150.5</v>
      </c>
      <c r="K81" s="28">
        <f t="shared" si="45"/>
        <v>150.5</v>
      </c>
      <c r="L81" s="28">
        <f t="shared" si="45"/>
        <v>150.5</v>
      </c>
      <c r="M81" s="28">
        <f t="shared" si="45"/>
        <v>150.5</v>
      </c>
      <c r="N81" s="28">
        <f t="shared" si="45"/>
        <v>150.5</v>
      </c>
      <c r="O81" s="28">
        <f t="shared" si="45"/>
        <v>0</v>
      </c>
      <c r="P81" s="28">
        <f t="shared" si="45"/>
        <v>344.5</v>
      </c>
      <c r="Q81" s="74"/>
      <c r="R81" s="74"/>
    </row>
    <row r="82" spans="1:18" ht="26.25" customHeight="1" x14ac:dyDescent="0.2">
      <c r="A82" s="5"/>
      <c r="B82" s="6"/>
      <c r="C82" s="6"/>
      <c r="D82" s="131"/>
      <c r="E82" s="49" t="s">
        <v>38</v>
      </c>
      <c r="F82" s="49" t="s">
        <v>38</v>
      </c>
      <c r="G82" s="49" t="s">
        <v>38</v>
      </c>
      <c r="H82" s="23">
        <f t="shared" si="45"/>
        <v>1086</v>
      </c>
      <c r="I82" s="23">
        <f t="shared" si="45"/>
        <v>341</v>
      </c>
      <c r="J82" s="23">
        <f t="shared" si="45"/>
        <v>149</v>
      </c>
      <c r="K82" s="23">
        <f t="shared" si="45"/>
        <v>149</v>
      </c>
      <c r="L82" s="23">
        <f t="shared" si="45"/>
        <v>149</v>
      </c>
      <c r="M82" s="23">
        <f t="shared" si="45"/>
        <v>149</v>
      </c>
      <c r="N82" s="23">
        <f t="shared" si="45"/>
        <v>149</v>
      </c>
      <c r="O82" s="23">
        <f t="shared" si="45"/>
        <v>0</v>
      </c>
      <c r="P82" s="23">
        <f t="shared" si="45"/>
        <v>341</v>
      </c>
      <c r="Q82" s="73"/>
      <c r="R82" s="73"/>
    </row>
    <row r="83" spans="1:18" ht="22.5" customHeight="1" x14ac:dyDescent="0.2">
      <c r="A83" s="5"/>
      <c r="B83" s="6"/>
      <c r="C83" s="6"/>
      <c r="D83" s="131"/>
      <c r="E83" s="49" t="s">
        <v>55</v>
      </c>
      <c r="F83" s="49" t="s">
        <v>55</v>
      </c>
      <c r="G83" s="49" t="s">
        <v>55</v>
      </c>
      <c r="H83" s="23">
        <f t="shared" si="45"/>
        <v>11</v>
      </c>
      <c r="I83" s="23">
        <f t="shared" si="45"/>
        <v>3.5</v>
      </c>
      <c r="J83" s="23">
        <f t="shared" si="45"/>
        <v>1.5</v>
      </c>
      <c r="K83" s="23">
        <f t="shared" si="45"/>
        <v>1.5</v>
      </c>
      <c r="L83" s="23">
        <f t="shared" si="45"/>
        <v>1.5</v>
      </c>
      <c r="M83" s="23">
        <f t="shared" si="45"/>
        <v>1.5</v>
      </c>
      <c r="N83" s="23">
        <f t="shared" si="45"/>
        <v>1.5</v>
      </c>
      <c r="O83" s="23">
        <f t="shared" si="45"/>
        <v>0</v>
      </c>
      <c r="P83" s="23">
        <f t="shared" si="45"/>
        <v>3.5</v>
      </c>
      <c r="Q83" s="73"/>
      <c r="R83" s="73"/>
    </row>
    <row r="84" spans="1:18" ht="21.75" customHeight="1" x14ac:dyDescent="0.2">
      <c r="A84" s="5"/>
      <c r="B84" s="6"/>
      <c r="C84" s="6"/>
      <c r="D84" s="131" t="s">
        <v>20</v>
      </c>
      <c r="E84" s="15" t="s">
        <v>56</v>
      </c>
      <c r="F84" s="15" t="s">
        <v>56</v>
      </c>
      <c r="G84" s="27" t="s">
        <v>56</v>
      </c>
      <c r="H84" s="28">
        <f t="shared" ref="H84:P86" si="46">H20</f>
        <v>12121.2</v>
      </c>
      <c r="I84" s="28">
        <f t="shared" si="46"/>
        <v>2020.2</v>
      </c>
      <c r="J84" s="28">
        <f t="shared" si="46"/>
        <v>2020.2</v>
      </c>
      <c r="K84" s="28">
        <f t="shared" si="46"/>
        <v>2020.2</v>
      </c>
      <c r="L84" s="28">
        <f t="shared" si="46"/>
        <v>2020.2</v>
      </c>
      <c r="M84" s="28">
        <f t="shared" si="46"/>
        <v>2020.2</v>
      </c>
      <c r="N84" s="28">
        <f t="shared" si="46"/>
        <v>2020.2</v>
      </c>
      <c r="O84" s="28">
        <f t="shared" si="46"/>
        <v>-814.82600000000002</v>
      </c>
      <c r="P84" s="28">
        <f t="shared" si="46"/>
        <v>1205.374</v>
      </c>
      <c r="Q84" s="74"/>
      <c r="R84" s="74"/>
    </row>
    <row r="85" spans="1:18" ht="25.5" customHeight="1" x14ac:dyDescent="0.2">
      <c r="A85" s="5"/>
      <c r="B85" s="6"/>
      <c r="C85" s="6"/>
      <c r="D85" s="131"/>
      <c r="E85" s="49" t="s">
        <v>38</v>
      </c>
      <c r="F85" s="49" t="s">
        <v>38</v>
      </c>
      <c r="G85" s="49" t="s">
        <v>38</v>
      </c>
      <c r="H85" s="23">
        <f t="shared" si="46"/>
        <v>12000</v>
      </c>
      <c r="I85" s="23">
        <f t="shared" si="46"/>
        <v>2000</v>
      </c>
      <c r="J85" s="23">
        <f t="shared" si="46"/>
        <v>2000</v>
      </c>
      <c r="K85" s="23">
        <f t="shared" si="46"/>
        <v>2000</v>
      </c>
      <c r="L85" s="23">
        <f t="shared" si="46"/>
        <v>2000</v>
      </c>
      <c r="M85" s="23">
        <f t="shared" si="46"/>
        <v>2000</v>
      </c>
      <c r="N85" s="23">
        <f t="shared" si="46"/>
        <v>2000</v>
      </c>
      <c r="O85" s="23">
        <f t="shared" si="46"/>
        <v>-794.62599999999998</v>
      </c>
      <c r="P85" s="23">
        <f t="shared" si="46"/>
        <v>1205.374</v>
      </c>
      <c r="Q85" s="73"/>
      <c r="R85" s="73"/>
    </row>
    <row r="86" spans="1:18" ht="20.25" customHeight="1" x14ac:dyDescent="0.2">
      <c r="A86" s="5"/>
      <c r="B86" s="6"/>
      <c r="C86" s="6"/>
      <c r="D86" s="131"/>
      <c r="E86" s="49" t="s">
        <v>55</v>
      </c>
      <c r="F86" s="49" t="s">
        <v>55</v>
      </c>
      <c r="G86" s="49" t="s">
        <v>55</v>
      </c>
      <c r="H86" s="23">
        <f t="shared" si="46"/>
        <v>121.2</v>
      </c>
      <c r="I86" s="23">
        <f t="shared" si="46"/>
        <v>20.2</v>
      </c>
      <c r="J86" s="23">
        <f t="shared" si="46"/>
        <v>20.2</v>
      </c>
      <c r="K86" s="23">
        <f t="shared" si="46"/>
        <v>20.2</v>
      </c>
      <c r="L86" s="23">
        <f t="shared" si="46"/>
        <v>20.2</v>
      </c>
      <c r="M86" s="23">
        <f t="shared" si="46"/>
        <v>20.2</v>
      </c>
      <c r="N86" s="23">
        <f t="shared" si="46"/>
        <v>20.2</v>
      </c>
      <c r="O86" s="23">
        <f t="shared" si="46"/>
        <v>-20.2</v>
      </c>
      <c r="P86" s="23">
        <f t="shared" si="46"/>
        <v>0</v>
      </c>
      <c r="Q86" s="73"/>
      <c r="R86" s="73"/>
    </row>
    <row r="87" spans="1:18" ht="22.5" customHeight="1" x14ac:dyDescent="0.2">
      <c r="A87" s="5"/>
      <c r="B87" s="6"/>
      <c r="C87" s="6"/>
      <c r="D87" s="131" t="s">
        <v>31</v>
      </c>
      <c r="E87" s="15" t="s">
        <v>56</v>
      </c>
      <c r="F87" s="15" t="s">
        <v>56</v>
      </c>
      <c r="G87" s="27" t="s">
        <v>56</v>
      </c>
      <c r="H87" s="28">
        <f t="shared" ref="H87:P89" si="47">H23+H26+H32+H38+H41+H44+H47</f>
        <v>2376194.2000000002</v>
      </c>
      <c r="I87" s="28">
        <f t="shared" si="47"/>
        <v>395870.7</v>
      </c>
      <c r="J87" s="28">
        <f t="shared" si="47"/>
        <v>396064.7</v>
      </c>
      <c r="K87" s="28">
        <f t="shared" si="47"/>
        <v>396064.69999999995</v>
      </c>
      <c r="L87" s="28">
        <f t="shared" si="47"/>
        <v>396064.69999999995</v>
      </c>
      <c r="M87" s="28">
        <f t="shared" si="47"/>
        <v>396064.69999999995</v>
      </c>
      <c r="N87" s="28">
        <f t="shared" si="47"/>
        <v>396064.69999999995</v>
      </c>
      <c r="O87" s="28">
        <f t="shared" si="47"/>
        <v>1927.8835999999997</v>
      </c>
      <c r="P87" s="28">
        <f t="shared" si="47"/>
        <v>397798.58360000001</v>
      </c>
      <c r="Q87" s="74"/>
      <c r="R87" s="74"/>
    </row>
    <row r="88" spans="1:18" ht="26.25" customHeight="1" x14ac:dyDescent="0.2">
      <c r="A88" s="5"/>
      <c r="B88" s="6"/>
      <c r="C88" s="6"/>
      <c r="D88" s="131"/>
      <c r="E88" s="49" t="s">
        <v>38</v>
      </c>
      <c r="F88" s="49" t="s">
        <v>38</v>
      </c>
      <c r="G88" s="49" t="s">
        <v>38</v>
      </c>
      <c r="H88" s="23">
        <f t="shared" si="47"/>
        <v>2352432</v>
      </c>
      <c r="I88" s="23">
        <f t="shared" si="47"/>
        <v>391912</v>
      </c>
      <c r="J88" s="23">
        <f t="shared" si="47"/>
        <v>392104</v>
      </c>
      <c r="K88" s="23">
        <f t="shared" si="47"/>
        <v>392104</v>
      </c>
      <c r="L88" s="23">
        <f t="shared" si="47"/>
        <v>392104</v>
      </c>
      <c r="M88" s="23">
        <f t="shared" si="47"/>
        <v>392104</v>
      </c>
      <c r="N88" s="23">
        <f t="shared" si="47"/>
        <v>392104</v>
      </c>
      <c r="O88" s="23">
        <f t="shared" si="47"/>
        <v>1896.5640199999993</v>
      </c>
      <c r="P88" s="23">
        <f t="shared" si="47"/>
        <v>393808.56401999999</v>
      </c>
      <c r="Q88" s="73"/>
      <c r="R88" s="73"/>
    </row>
    <row r="89" spans="1:18" ht="21.75" customHeight="1" x14ac:dyDescent="0.2">
      <c r="A89" s="5"/>
      <c r="B89" s="6"/>
      <c r="C89" s="6"/>
      <c r="D89" s="131"/>
      <c r="E89" s="49" t="s">
        <v>55</v>
      </c>
      <c r="F89" s="49" t="s">
        <v>55</v>
      </c>
      <c r="G89" s="49" t="s">
        <v>55</v>
      </c>
      <c r="H89" s="23">
        <f t="shared" si="47"/>
        <v>23762.2</v>
      </c>
      <c r="I89" s="23">
        <f t="shared" si="47"/>
        <v>3958.7</v>
      </c>
      <c r="J89" s="23">
        <f t="shared" si="47"/>
        <v>3960.7</v>
      </c>
      <c r="K89" s="23">
        <f t="shared" si="47"/>
        <v>3960.7000000000003</v>
      </c>
      <c r="L89" s="23">
        <f t="shared" si="47"/>
        <v>3960.7000000000003</v>
      </c>
      <c r="M89" s="23">
        <f t="shared" si="47"/>
        <v>3960.7000000000003</v>
      </c>
      <c r="N89" s="23">
        <f t="shared" si="47"/>
        <v>3960.7000000000003</v>
      </c>
      <c r="O89" s="23">
        <f t="shared" si="47"/>
        <v>31.319579999999995</v>
      </c>
      <c r="P89" s="23">
        <f t="shared" si="47"/>
        <v>3990.0195800000001</v>
      </c>
      <c r="Q89" s="73"/>
      <c r="R89" s="73"/>
    </row>
    <row r="90" spans="1:18" ht="26.25" customHeight="1" x14ac:dyDescent="0.2">
      <c r="A90" s="5"/>
      <c r="B90" s="6"/>
      <c r="C90" s="6"/>
      <c r="D90" s="131" t="s">
        <v>65</v>
      </c>
      <c r="E90" s="15" t="s">
        <v>56</v>
      </c>
      <c r="F90" s="15" t="s">
        <v>56</v>
      </c>
      <c r="G90" s="27" t="s">
        <v>56</v>
      </c>
      <c r="H90" s="28" t="e">
        <f>#REF!</f>
        <v>#REF!</v>
      </c>
      <c r="I90" s="28">
        <f>I50</f>
        <v>49495</v>
      </c>
      <c r="J90" s="28">
        <f t="shared" ref="J90:P92" si="48">J50</f>
        <v>49495</v>
      </c>
      <c r="K90" s="28">
        <f t="shared" si="48"/>
        <v>49495</v>
      </c>
      <c r="L90" s="28">
        <f t="shared" si="48"/>
        <v>49495</v>
      </c>
      <c r="M90" s="28">
        <f t="shared" si="48"/>
        <v>49495</v>
      </c>
      <c r="N90" s="28">
        <f t="shared" si="48"/>
        <v>49495</v>
      </c>
      <c r="O90" s="28">
        <f t="shared" si="48"/>
        <v>0</v>
      </c>
      <c r="P90" s="28">
        <f t="shared" si="48"/>
        <v>49495</v>
      </c>
      <c r="Q90" s="74"/>
      <c r="R90" s="74"/>
    </row>
    <row r="91" spans="1:18" ht="35.25" customHeight="1" x14ac:dyDescent="0.2">
      <c r="A91" s="5"/>
      <c r="B91" s="6"/>
      <c r="C91" s="6"/>
      <c r="D91" s="131"/>
      <c r="E91" s="49" t="s">
        <v>38</v>
      </c>
      <c r="F91" s="49" t="s">
        <v>38</v>
      </c>
      <c r="G91" s="49" t="s">
        <v>38</v>
      </c>
      <c r="H91" s="23" t="e">
        <f>#REF!</f>
        <v>#REF!</v>
      </c>
      <c r="I91" s="23">
        <f>I51</f>
        <v>49000</v>
      </c>
      <c r="J91" s="23">
        <f t="shared" si="48"/>
        <v>49000</v>
      </c>
      <c r="K91" s="23">
        <f t="shared" si="48"/>
        <v>49000</v>
      </c>
      <c r="L91" s="23">
        <f t="shared" si="48"/>
        <v>49000</v>
      </c>
      <c r="M91" s="23">
        <f t="shared" si="48"/>
        <v>49000</v>
      </c>
      <c r="N91" s="23">
        <f t="shared" si="48"/>
        <v>49000</v>
      </c>
      <c r="O91" s="23">
        <f t="shared" si="48"/>
        <v>0</v>
      </c>
      <c r="P91" s="23">
        <f t="shared" si="48"/>
        <v>49000</v>
      </c>
      <c r="Q91" s="73"/>
      <c r="R91" s="73"/>
    </row>
    <row r="92" spans="1:18" ht="30" customHeight="1" x14ac:dyDescent="0.2">
      <c r="A92" s="5"/>
      <c r="B92" s="6"/>
      <c r="C92" s="6"/>
      <c r="D92" s="131"/>
      <c r="E92" s="49" t="s">
        <v>55</v>
      </c>
      <c r="F92" s="49" t="s">
        <v>55</v>
      </c>
      <c r="G92" s="49" t="s">
        <v>55</v>
      </c>
      <c r="H92" s="23" t="e">
        <f>#REF!</f>
        <v>#REF!</v>
      </c>
      <c r="I92" s="23">
        <f>I52</f>
        <v>495</v>
      </c>
      <c r="J92" s="23">
        <f t="shared" si="48"/>
        <v>495</v>
      </c>
      <c r="K92" s="23">
        <f t="shared" si="48"/>
        <v>495</v>
      </c>
      <c r="L92" s="23">
        <f t="shared" si="48"/>
        <v>495</v>
      </c>
      <c r="M92" s="23">
        <f t="shared" si="48"/>
        <v>495</v>
      </c>
      <c r="N92" s="23">
        <f t="shared" si="48"/>
        <v>495</v>
      </c>
      <c r="O92" s="23">
        <f t="shared" si="48"/>
        <v>0</v>
      </c>
      <c r="P92" s="23">
        <f t="shared" si="48"/>
        <v>495</v>
      </c>
      <c r="Q92" s="73"/>
      <c r="R92" s="73"/>
    </row>
    <row r="93" spans="1:18" ht="26.25" customHeight="1" x14ac:dyDescent="0.2">
      <c r="A93" s="5"/>
      <c r="B93" s="6"/>
      <c r="C93" s="6"/>
      <c r="D93" s="132" t="s">
        <v>1</v>
      </c>
      <c r="E93" s="15" t="s">
        <v>56</v>
      </c>
      <c r="F93" s="15" t="s">
        <v>56</v>
      </c>
      <c r="G93" s="29" t="s">
        <v>56</v>
      </c>
      <c r="H93" s="30" t="e">
        <f>H94+H95</f>
        <v>#REF!</v>
      </c>
      <c r="I93" s="30">
        <f t="shared" ref="I93:P93" si="49">I94+I95</f>
        <v>454545.6</v>
      </c>
      <c r="J93" s="30">
        <f t="shared" si="49"/>
        <v>454545.5</v>
      </c>
      <c r="K93" s="30">
        <f t="shared" si="49"/>
        <v>454545.5</v>
      </c>
      <c r="L93" s="30">
        <f t="shared" si="49"/>
        <v>454545.5</v>
      </c>
      <c r="M93" s="30">
        <f t="shared" si="49"/>
        <v>454545.5</v>
      </c>
      <c r="N93" s="30">
        <f t="shared" si="49"/>
        <v>454545.5</v>
      </c>
      <c r="O93" s="30">
        <f t="shared" si="49"/>
        <v>1.5849999999570485E-2</v>
      </c>
      <c r="P93" s="30">
        <f t="shared" si="49"/>
        <v>454545.61585</v>
      </c>
      <c r="Q93" s="75"/>
      <c r="R93" s="75"/>
    </row>
    <row r="94" spans="1:18" ht="33" customHeight="1" x14ac:dyDescent="0.2">
      <c r="A94" s="5"/>
      <c r="B94" s="6"/>
      <c r="C94" s="6"/>
      <c r="D94" s="132"/>
      <c r="E94" s="49" t="s">
        <v>38</v>
      </c>
      <c r="F94" s="49" t="s">
        <v>38</v>
      </c>
      <c r="G94" s="49" t="s">
        <v>38</v>
      </c>
      <c r="H94" s="22" t="e">
        <f t="shared" ref="H94:P95" si="50">H79+H82+H85+H88+H91</f>
        <v>#REF!</v>
      </c>
      <c r="I94" s="22">
        <f t="shared" si="50"/>
        <v>450000</v>
      </c>
      <c r="J94" s="22">
        <f t="shared" si="50"/>
        <v>450000</v>
      </c>
      <c r="K94" s="22">
        <f t="shared" si="50"/>
        <v>450000</v>
      </c>
      <c r="L94" s="22">
        <f t="shared" si="50"/>
        <v>450000</v>
      </c>
      <c r="M94" s="22">
        <f t="shared" si="50"/>
        <v>450000</v>
      </c>
      <c r="N94" s="22">
        <f t="shared" si="50"/>
        <v>450000</v>
      </c>
      <c r="O94" s="22">
        <f t="shared" si="50"/>
        <v>2.6899999995748658E-3</v>
      </c>
      <c r="P94" s="22">
        <f t="shared" si="50"/>
        <v>450000.00268999999</v>
      </c>
      <c r="Q94" s="71"/>
      <c r="R94" s="71"/>
    </row>
    <row r="95" spans="1:18" ht="24.75" customHeight="1" x14ac:dyDescent="0.2">
      <c r="A95" s="5"/>
      <c r="B95" s="6"/>
      <c r="C95" s="6"/>
      <c r="D95" s="132"/>
      <c r="E95" s="49" t="s">
        <v>55</v>
      </c>
      <c r="F95" s="49" t="s">
        <v>55</v>
      </c>
      <c r="G95" s="49" t="s">
        <v>55</v>
      </c>
      <c r="H95" s="22" t="e">
        <f>H80+H83+H86+H89+H92</f>
        <v>#REF!</v>
      </c>
      <c r="I95" s="22">
        <f t="shared" si="50"/>
        <v>4545.6000000000004</v>
      </c>
      <c r="J95" s="22">
        <f t="shared" si="50"/>
        <v>4545.5</v>
      </c>
      <c r="K95" s="22">
        <f t="shared" si="50"/>
        <v>4545.5</v>
      </c>
      <c r="L95" s="22">
        <f t="shared" si="50"/>
        <v>4545.5</v>
      </c>
      <c r="M95" s="22">
        <f t="shared" si="50"/>
        <v>4545.5</v>
      </c>
      <c r="N95" s="22">
        <f t="shared" si="50"/>
        <v>4545.5</v>
      </c>
      <c r="O95" s="22">
        <f t="shared" si="50"/>
        <v>1.315999999999562E-2</v>
      </c>
      <c r="P95" s="22">
        <f t="shared" si="50"/>
        <v>4545.6131600000008</v>
      </c>
      <c r="Q95" s="71"/>
      <c r="R95" s="71"/>
    </row>
    <row r="96" spans="1:18" x14ac:dyDescent="0.2">
      <c r="A96" s="5"/>
      <c r="B96" s="6"/>
      <c r="C96" s="6"/>
      <c r="D96" s="6"/>
      <c r="E96" s="6"/>
      <c r="F96" s="6"/>
      <c r="G96" s="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">
      <c r="A97" s="5"/>
      <c r="B97" s="6"/>
      <c r="C97" s="6"/>
      <c r="D97" s="6"/>
      <c r="E97" s="6"/>
      <c r="F97" s="6"/>
      <c r="G97" s="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">
      <c r="A98" s="5"/>
      <c r="B98" s="6"/>
      <c r="C98" s="6"/>
      <c r="D98" s="6"/>
      <c r="E98" s="6"/>
      <c r="F98" s="6"/>
      <c r="G98" s="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">
      <c r="A99" s="5"/>
      <c r="B99" s="6"/>
      <c r="C99" s="6"/>
      <c r="D99" s="6"/>
      <c r="E99" s="6"/>
      <c r="F99" s="6"/>
      <c r="G99" s="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">
      <c r="A100" s="5"/>
      <c r="B100" s="6"/>
      <c r="C100" s="6"/>
      <c r="D100" s="6"/>
      <c r="E100" s="6"/>
      <c r="F100" s="6"/>
      <c r="G100" s="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">
      <c r="A101" s="5"/>
      <c r="B101" s="6"/>
      <c r="C101" s="6"/>
      <c r="D101" s="6"/>
      <c r="E101" s="6"/>
      <c r="F101" s="6"/>
      <c r="G101" s="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">
      <c r="A102" s="5"/>
      <c r="B102" s="6"/>
      <c r="C102" s="6"/>
      <c r="D102" s="6"/>
      <c r="E102" s="6"/>
      <c r="F102" s="6"/>
      <c r="G102" s="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">
      <c r="A103" s="5"/>
      <c r="B103" s="6"/>
      <c r="C103" s="6"/>
      <c r="D103" s="6"/>
      <c r="E103" s="6"/>
      <c r="F103" s="6"/>
      <c r="G103" s="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">
      <c r="A104" s="5"/>
      <c r="B104" s="6"/>
      <c r="C104" s="6"/>
      <c r="D104" s="6"/>
      <c r="E104" s="6"/>
      <c r="F104" s="6"/>
      <c r="G104" s="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">
      <c r="A105" s="5"/>
      <c r="B105" s="6"/>
      <c r="C105" s="6"/>
      <c r="D105" s="6"/>
      <c r="E105" s="6"/>
      <c r="F105" s="6"/>
      <c r="G105" s="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">
      <c r="A106" s="5"/>
      <c r="B106" s="6"/>
      <c r="C106" s="6"/>
      <c r="D106" s="6"/>
      <c r="E106" s="6"/>
      <c r="F106" s="6"/>
      <c r="G106" s="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">
      <c r="A107" s="5"/>
      <c r="B107" s="6"/>
      <c r="C107" s="6"/>
      <c r="D107" s="6"/>
      <c r="E107" s="6"/>
      <c r="F107" s="6"/>
      <c r="G107" s="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">
      <c r="A108" s="5"/>
      <c r="B108" s="6"/>
      <c r="C108" s="6"/>
      <c r="D108" s="6"/>
      <c r="E108" s="6"/>
      <c r="F108" s="6"/>
      <c r="G108" s="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">
      <c r="A109" s="5"/>
      <c r="B109" s="6"/>
      <c r="C109" s="6"/>
      <c r="D109" s="6"/>
      <c r="E109" s="6"/>
      <c r="F109" s="6"/>
      <c r="G109" s="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">
      <c r="A110" s="5"/>
      <c r="B110" s="6"/>
      <c r="C110" s="6"/>
      <c r="D110" s="6"/>
      <c r="E110" s="6"/>
      <c r="F110" s="6"/>
      <c r="G110" s="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">
      <c r="A111" s="5"/>
      <c r="B111" s="6"/>
      <c r="C111" s="6"/>
      <c r="D111" s="6"/>
      <c r="E111" s="6"/>
      <c r="F111" s="6"/>
      <c r="G111" s="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">
      <c r="A112" s="5"/>
      <c r="B112" s="6"/>
      <c r="C112" s="6"/>
      <c r="D112" s="6"/>
      <c r="E112" s="6"/>
      <c r="F112" s="6"/>
      <c r="G112" s="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">
      <c r="A113" s="5"/>
      <c r="B113" s="6"/>
      <c r="C113" s="6"/>
      <c r="D113" s="6"/>
      <c r="E113" s="6"/>
      <c r="F113" s="6"/>
      <c r="G113" s="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">
      <c r="A114" s="5"/>
      <c r="B114" s="6"/>
      <c r="C114" s="6"/>
      <c r="D114" s="6"/>
      <c r="E114" s="6"/>
      <c r="F114" s="6"/>
      <c r="G114" s="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">
      <c r="A115" s="5"/>
      <c r="B115" s="6"/>
      <c r="C115" s="6"/>
      <c r="D115" s="6"/>
      <c r="E115" s="6"/>
      <c r="F115" s="6"/>
      <c r="G115" s="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">
      <c r="A116" s="5"/>
      <c r="B116" s="6"/>
      <c r="C116" s="6"/>
      <c r="D116" s="6"/>
      <c r="E116" s="6"/>
      <c r="F116" s="6"/>
      <c r="G116" s="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">
      <c r="A117" s="5"/>
      <c r="B117" s="6"/>
      <c r="C117" s="6"/>
      <c r="D117" s="6"/>
      <c r="E117" s="6"/>
      <c r="F117" s="6"/>
      <c r="G117" s="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">
      <c r="A118" s="5"/>
      <c r="B118" s="6"/>
      <c r="C118" s="6"/>
      <c r="D118" s="6"/>
      <c r="E118" s="6"/>
      <c r="F118" s="6"/>
      <c r="G118" s="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">
      <c r="A119" s="5"/>
      <c r="B119" s="6"/>
      <c r="C119" s="6"/>
      <c r="D119" s="6"/>
      <c r="E119" s="6"/>
      <c r="F119" s="6"/>
      <c r="G119" s="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">
      <c r="A120" s="5"/>
      <c r="B120" s="6"/>
      <c r="C120" s="6"/>
      <c r="D120" s="6"/>
      <c r="E120" s="6"/>
      <c r="F120" s="6"/>
      <c r="G120" s="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">
      <c r="A121" s="5"/>
      <c r="B121" s="6"/>
      <c r="C121" s="6"/>
      <c r="D121" s="6"/>
      <c r="E121" s="6"/>
      <c r="F121" s="6"/>
      <c r="G121" s="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">
      <c r="A122" s="5"/>
      <c r="B122" s="6"/>
      <c r="C122" s="6"/>
      <c r="D122" s="6"/>
      <c r="E122" s="6"/>
      <c r="F122" s="6"/>
      <c r="G122" s="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">
      <c r="A123" s="5"/>
      <c r="B123" s="6"/>
      <c r="C123" s="6"/>
      <c r="D123" s="6"/>
      <c r="E123" s="6"/>
      <c r="F123" s="6"/>
      <c r="G123" s="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">
      <c r="A124" s="5"/>
      <c r="B124" s="6"/>
      <c r="C124" s="6"/>
      <c r="D124" s="6"/>
      <c r="E124" s="6"/>
      <c r="F124" s="6"/>
      <c r="G124" s="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">
      <c r="A125" s="5"/>
      <c r="B125" s="6"/>
      <c r="C125" s="6"/>
      <c r="D125" s="6"/>
      <c r="E125" s="6"/>
      <c r="F125" s="6"/>
      <c r="G125" s="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">
      <c r="A126" s="5"/>
      <c r="B126" s="6"/>
      <c r="C126" s="6"/>
      <c r="D126" s="6"/>
      <c r="E126" s="6"/>
      <c r="F126" s="6"/>
      <c r="G126" s="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">
      <c r="A127" s="5"/>
      <c r="B127" s="6"/>
      <c r="C127" s="6"/>
      <c r="D127" s="6"/>
      <c r="E127" s="6"/>
      <c r="F127" s="6"/>
      <c r="G127" s="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">
      <c r="A128" s="5"/>
      <c r="B128" s="6"/>
      <c r="C128" s="6"/>
      <c r="D128" s="6"/>
      <c r="E128" s="6"/>
      <c r="F128" s="6"/>
      <c r="G128" s="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">
      <c r="A129" s="5"/>
      <c r="B129" s="6"/>
      <c r="C129" s="6"/>
      <c r="D129" s="6"/>
      <c r="E129" s="6"/>
      <c r="F129" s="6"/>
      <c r="G129" s="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">
      <c r="A130" s="5"/>
      <c r="B130" s="6"/>
      <c r="C130" s="6"/>
      <c r="D130" s="6"/>
      <c r="E130" s="6"/>
      <c r="F130" s="6"/>
      <c r="G130" s="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">
      <c r="A131" s="5"/>
      <c r="B131" s="6"/>
      <c r="C131" s="6"/>
      <c r="D131" s="6"/>
      <c r="E131" s="6"/>
      <c r="F131" s="6"/>
      <c r="G131" s="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">
      <c r="A132" s="5"/>
      <c r="B132" s="6"/>
      <c r="C132" s="6"/>
      <c r="D132" s="6"/>
      <c r="E132" s="6"/>
      <c r="F132" s="6"/>
      <c r="G132" s="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">
      <c r="A133" s="5"/>
      <c r="B133" s="6"/>
      <c r="C133" s="6"/>
      <c r="D133" s="6"/>
      <c r="E133" s="6"/>
      <c r="F133" s="6"/>
      <c r="G133" s="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">
      <c r="A134" s="5"/>
      <c r="B134" s="6"/>
      <c r="C134" s="6"/>
      <c r="D134" s="6"/>
      <c r="E134" s="6"/>
      <c r="F134" s="6"/>
      <c r="G134" s="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">
      <c r="A135" s="5"/>
      <c r="B135" s="6"/>
      <c r="C135" s="6"/>
      <c r="D135" s="6"/>
      <c r="E135" s="6"/>
      <c r="F135" s="6"/>
      <c r="G135" s="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">
      <c r="A136" s="5"/>
      <c r="B136" s="6"/>
      <c r="C136" s="6"/>
      <c r="D136" s="6"/>
      <c r="E136" s="6"/>
      <c r="F136" s="6"/>
      <c r="G136" s="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">
      <c r="A137" s="5"/>
      <c r="B137" s="6"/>
      <c r="C137" s="6"/>
      <c r="D137" s="6"/>
      <c r="E137" s="6"/>
      <c r="F137" s="6"/>
      <c r="G137" s="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">
      <c r="A138" s="5"/>
      <c r="B138" s="6"/>
      <c r="C138" s="6"/>
      <c r="D138" s="6"/>
      <c r="E138" s="6"/>
      <c r="F138" s="6"/>
      <c r="G138" s="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">
      <c r="A139" s="5"/>
      <c r="B139" s="6"/>
      <c r="C139" s="6"/>
      <c r="D139" s="6"/>
      <c r="E139" s="6"/>
      <c r="F139" s="6"/>
      <c r="G139" s="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">
      <c r="A140" s="5"/>
      <c r="B140" s="6"/>
      <c r="C140" s="6"/>
      <c r="D140" s="6"/>
      <c r="E140" s="6"/>
      <c r="F140" s="6"/>
      <c r="G140" s="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">
      <c r="A141" s="5"/>
      <c r="B141" s="6"/>
      <c r="C141" s="6"/>
      <c r="D141" s="6"/>
      <c r="E141" s="6"/>
      <c r="F141" s="6"/>
      <c r="G141" s="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">
      <c r="A142" s="5"/>
      <c r="B142" s="6"/>
      <c r="C142" s="6"/>
      <c r="D142" s="6"/>
      <c r="E142" s="6"/>
      <c r="F142" s="6"/>
      <c r="G142" s="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">
      <c r="A143" s="5"/>
      <c r="B143" s="6"/>
      <c r="C143" s="6"/>
      <c r="D143" s="6"/>
      <c r="E143" s="6"/>
      <c r="F143" s="6"/>
      <c r="G143" s="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">
      <c r="A144" s="5"/>
      <c r="B144" s="6"/>
      <c r="C144" s="6"/>
      <c r="D144" s="6"/>
      <c r="E144" s="6"/>
      <c r="F144" s="6"/>
      <c r="G144" s="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">
      <c r="A145" s="5"/>
      <c r="B145" s="6"/>
      <c r="C145" s="6"/>
      <c r="D145" s="6"/>
      <c r="E145" s="6"/>
      <c r="F145" s="6"/>
      <c r="G145" s="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">
      <c r="A146" s="5"/>
      <c r="B146" s="6"/>
      <c r="C146" s="6"/>
      <c r="D146" s="6"/>
      <c r="E146" s="6"/>
      <c r="F146" s="6"/>
      <c r="G146" s="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">
      <c r="A147" s="5"/>
      <c r="B147" s="6"/>
      <c r="C147" s="6"/>
      <c r="D147" s="6"/>
      <c r="E147" s="6"/>
      <c r="F147" s="6"/>
      <c r="G147" s="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">
      <c r="A148" s="5"/>
      <c r="B148" s="6"/>
      <c r="C148" s="6"/>
      <c r="D148" s="6"/>
      <c r="E148" s="6"/>
      <c r="F148" s="6"/>
      <c r="G148" s="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2">
      <c r="A149" s="5"/>
      <c r="B149" s="6"/>
      <c r="C149" s="6"/>
      <c r="D149" s="6"/>
      <c r="E149" s="6"/>
      <c r="F149" s="6"/>
      <c r="G149" s="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2">
      <c r="A150" s="5"/>
      <c r="B150" s="6"/>
      <c r="C150" s="6"/>
      <c r="D150" s="6"/>
      <c r="E150" s="6"/>
      <c r="F150" s="6"/>
      <c r="G150" s="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">
      <c r="A151" s="5"/>
      <c r="B151" s="6"/>
      <c r="C151" s="6"/>
      <c r="D151" s="6"/>
      <c r="E151" s="6"/>
      <c r="F151" s="6"/>
      <c r="G151" s="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">
      <c r="A152" s="5"/>
      <c r="B152" s="6"/>
      <c r="C152" s="6"/>
      <c r="D152" s="6"/>
      <c r="E152" s="6"/>
      <c r="F152" s="6"/>
      <c r="G152" s="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">
      <c r="A153" s="5"/>
      <c r="B153" s="6"/>
      <c r="C153" s="6"/>
      <c r="D153" s="6"/>
      <c r="E153" s="6"/>
      <c r="F153" s="6"/>
      <c r="G153" s="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">
      <c r="A154" s="5"/>
      <c r="B154" s="6"/>
      <c r="C154" s="6"/>
      <c r="D154" s="6"/>
      <c r="E154" s="6"/>
      <c r="F154" s="6"/>
      <c r="G154" s="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">
      <c r="A155" s="5"/>
      <c r="B155" s="6"/>
      <c r="C155" s="6"/>
      <c r="D155" s="6"/>
      <c r="E155" s="6"/>
      <c r="F155" s="6"/>
      <c r="G155" s="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">
      <c r="A156" s="5"/>
      <c r="B156" s="6"/>
      <c r="C156" s="6"/>
      <c r="D156" s="6"/>
      <c r="E156" s="6"/>
      <c r="F156" s="6"/>
      <c r="G156" s="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">
      <c r="A157" s="5"/>
      <c r="B157" s="6"/>
      <c r="C157" s="6"/>
      <c r="D157" s="6"/>
      <c r="E157" s="6"/>
      <c r="F157" s="6"/>
      <c r="G157" s="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">
      <c r="A158" s="5"/>
      <c r="B158" s="6"/>
      <c r="C158" s="6"/>
      <c r="D158" s="6"/>
      <c r="E158" s="6"/>
      <c r="F158" s="6"/>
      <c r="G158" s="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">
      <c r="A159" s="5"/>
      <c r="B159" s="6"/>
      <c r="C159" s="6"/>
      <c r="D159" s="6"/>
      <c r="E159" s="6"/>
      <c r="F159" s="6"/>
      <c r="G159" s="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">
      <c r="A160" s="5"/>
      <c r="B160" s="6"/>
      <c r="C160" s="6"/>
      <c r="D160" s="6"/>
      <c r="E160" s="6"/>
      <c r="F160" s="6"/>
      <c r="G160" s="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">
      <c r="A161" s="5"/>
      <c r="B161" s="6"/>
      <c r="C161" s="6"/>
      <c r="D161" s="6"/>
      <c r="E161" s="6"/>
      <c r="F161" s="6"/>
      <c r="G161" s="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">
      <c r="A162" s="5"/>
      <c r="B162" s="6"/>
      <c r="C162" s="6"/>
      <c r="D162" s="6"/>
      <c r="E162" s="6"/>
      <c r="F162" s="6"/>
      <c r="G162" s="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">
      <c r="A163" s="5"/>
      <c r="B163" s="6"/>
      <c r="C163" s="6"/>
      <c r="D163" s="6"/>
      <c r="E163" s="6"/>
      <c r="F163" s="6"/>
      <c r="G163" s="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2">
      <c r="A164" s="5"/>
      <c r="B164" s="6"/>
      <c r="C164" s="6"/>
      <c r="D164" s="6"/>
      <c r="E164" s="6"/>
      <c r="F164" s="6"/>
      <c r="G164" s="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2">
      <c r="A165" s="5"/>
      <c r="B165" s="6"/>
      <c r="C165" s="6"/>
      <c r="D165" s="6"/>
      <c r="E165" s="6"/>
      <c r="F165" s="6"/>
      <c r="G165" s="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2">
      <c r="A166" s="5"/>
      <c r="B166" s="6"/>
      <c r="C166" s="6"/>
      <c r="D166" s="6"/>
      <c r="E166" s="6"/>
      <c r="F166" s="6"/>
      <c r="G166" s="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">
      <c r="A167" s="5"/>
      <c r="B167" s="6"/>
      <c r="C167" s="6"/>
      <c r="D167" s="6"/>
      <c r="E167" s="6"/>
      <c r="F167" s="6"/>
      <c r="G167" s="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2">
      <c r="A168" s="5"/>
      <c r="B168" s="6"/>
      <c r="C168" s="6"/>
      <c r="D168" s="6"/>
      <c r="E168" s="6"/>
      <c r="F168" s="6"/>
      <c r="G168" s="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x14ac:dyDescent="0.2">
      <c r="A169" s="5"/>
      <c r="B169" s="6"/>
      <c r="C169" s="6"/>
      <c r="D169" s="6"/>
      <c r="E169" s="6"/>
      <c r="F169" s="6"/>
      <c r="G169" s="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2">
      <c r="A170" s="5"/>
      <c r="B170" s="6"/>
      <c r="C170" s="6"/>
      <c r="D170" s="6"/>
      <c r="E170" s="6"/>
      <c r="F170" s="6"/>
      <c r="G170" s="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2">
      <c r="A171" s="5"/>
      <c r="B171" s="6"/>
      <c r="C171" s="6"/>
      <c r="D171" s="6"/>
      <c r="E171" s="6"/>
      <c r="F171" s="6"/>
      <c r="G171" s="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2">
      <c r="A172" s="5"/>
      <c r="B172" s="6"/>
      <c r="C172" s="6"/>
      <c r="D172" s="6"/>
      <c r="E172" s="6"/>
      <c r="F172" s="6"/>
      <c r="G172" s="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2">
      <c r="A173" s="5"/>
      <c r="B173" s="6"/>
      <c r="C173" s="6"/>
      <c r="D173" s="6"/>
      <c r="E173" s="6"/>
      <c r="F173" s="6"/>
      <c r="G173" s="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2">
      <c r="A174" s="5"/>
      <c r="B174" s="6"/>
      <c r="C174" s="6"/>
      <c r="D174" s="6"/>
      <c r="E174" s="6"/>
      <c r="F174" s="6"/>
      <c r="G174" s="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2">
      <c r="A175" s="5"/>
      <c r="B175" s="6"/>
      <c r="C175" s="6"/>
      <c r="D175" s="6"/>
      <c r="E175" s="6"/>
      <c r="F175" s="6"/>
      <c r="G175" s="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2">
      <c r="A176" s="5"/>
      <c r="B176" s="6"/>
      <c r="C176" s="6"/>
      <c r="D176" s="6"/>
      <c r="E176" s="6"/>
      <c r="F176" s="6"/>
      <c r="G176" s="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2">
      <c r="A177" s="5"/>
      <c r="B177" s="6"/>
      <c r="C177" s="6"/>
      <c r="D177" s="6"/>
      <c r="E177" s="6"/>
      <c r="F177" s="6"/>
      <c r="G177" s="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2">
      <c r="A178" s="5"/>
      <c r="B178" s="6"/>
      <c r="C178" s="6"/>
      <c r="D178" s="6"/>
      <c r="E178" s="6"/>
      <c r="F178" s="6"/>
      <c r="G178" s="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2">
      <c r="A179" s="5"/>
      <c r="B179" s="6"/>
      <c r="C179" s="6"/>
      <c r="D179" s="6"/>
      <c r="E179" s="6"/>
      <c r="F179" s="6"/>
      <c r="G179" s="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2">
      <c r="A180" s="5"/>
      <c r="B180" s="6"/>
      <c r="C180" s="6"/>
      <c r="D180" s="6"/>
      <c r="E180" s="6"/>
      <c r="F180" s="6"/>
      <c r="G180" s="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">
      <c r="A181" s="5"/>
      <c r="B181" s="6"/>
      <c r="C181" s="6"/>
      <c r="D181" s="6"/>
      <c r="E181" s="6"/>
      <c r="F181" s="6"/>
      <c r="G181" s="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">
      <c r="A182" s="5"/>
      <c r="B182" s="6"/>
      <c r="C182" s="6"/>
      <c r="D182" s="6"/>
      <c r="E182" s="6"/>
      <c r="F182" s="6"/>
      <c r="G182" s="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">
      <c r="A183" s="5"/>
      <c r="B183" s="6"/>
      <c r="C183" s="6"/>
      <c r="D183" s="6"/>
      <c r="E183" s="6"/>
      <c r="F183" s="6"/>
      <c r="G183" s="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">
      <c r="A184" s="5"/>
      <c r="B184" s="6"/>
      <c r="C184" s="6"/>
      <c r="D184" s="6"/>
      <c r="E184" s="6"/>
      <c r="F184" s="6"/>
      <c r="G184" s="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">
      <c r="A185" s="5"/>
      <c r="B185" s="6"/>
      <c r="C185" s="6"/>
      <c r="D185" s="6"/>
      <c r="E185" s="6"/>
      <c r="F185" s="6"/>
      <c r="G185" s="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2">
      <c r="A186" s="5"/>
      <c r="B186" s="6"/>
      <c r="C186" s="6"/>
      <c r="D186" s="6"/>
      <c r="E186" s="6"/>
      <c r="F186" s="6"/>
      <c r="G186" s="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">
      <c r="A187" s="5"/>
      <c r="B187" s="6"/>
      <c r="C187" s="6"/>
      <c r="D187" s="6"/>
      <c r="E187" s="6"/>
      <c r="F187" s="6"/>
      <c r="G187" s="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">
      <c r="A188" s="5"/>
      <c r="B188" s="6"/>
      <c r="C188" s="6"/>
      <c r="D188" s="6"/>
      <c r="E188" s="6"/>
      <c r="F188" s="6"/>
      <c r="G188" s="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">
      <c r="A189" s="5"/>
      <c r="B189" s="6"/>
      <c r="C189" s="6"/>
      <c r="D189" s="6"/>
      <c r="E189" s="6"/>
      <c r="F189" s="6"/>
      <c r="G189" s="7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">
      <c r="A190" s="5"/>
      <c r="B190" s="6"/>
      <c r="C190" s="6"/>
      <c r="D190" s="6"/>
      <c r="E190" s="6"/>
      <c r="F190" s="6"/>
      <c r="G190" s="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">
      <c r="A191" s="5"/>
      <c r="B191" s="6"/>
      <c r="C191" s="6"/>
      <c r="D191" s="6"/>
      <c r="E191" s="6"/>
      <c r="F191" s="6"/>
      <c r="G191" s="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2">
      <c r="A192" s="5"/>
      <c r="B192" s="6"/>
      <c r="C192" s="6"/>
      <c r="D192" s="6"/>
      <c r="E192" s="6"/>
      <c r="F192" s="6"/>
      <c r="G192" s="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x14ac:dyDescent="0.2">
      <c r="A193" s="5"/>
      <c r="B193" s="6"/>
      <c r="C193" s="6"/>
      <c r="D193" s="6"/>
      <c r="E193" s="6"/>
      <c r="F193" s="6"/>
      <c r="G193" s="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x14ac:dyDescent="0.2">
      <c r="A194" s="5"/>
      <c r="B194" s="6"/>
      <c r="C194" s="6"/>
      <c r="D194" s="6"/>
      <c r="E194" s="6"/>
      <c r="F194" s="6"/>
      <c r="G194" s="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x14ac:dyDescent="0.2">
      <c r="A195" s="5"/>
      <c r="B195" s="6"/>
      <c r="C195" s="6"/>
      <c r="D195" s="6"/>
      <c r="E195" s="6"/>
      <c r="F195" s="6"/>
      <c r="G195" s="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x14ac:dyDescent="0.2">
      <c r="A196" s="5"/>
      <c r="B196" s="6"/>
      <c r="C196" s="6"/>
      <c r="D196" s="6"/>
      <c r="E196" s="6"/>
      <c r="F196" s="6"/>
      <c r="G196" s="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x14ac:dyDescent="0.2">
      <c r="A197" s="5"/>
      <c r="B197" s="6"/>
      <c r="C197" s="6"/>
      <c r="D197" s="6"/>
      <c r="E197" s="6"/>
      <c r="F197" s="6"/>
      <c r="G197" s="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x14ac:dyDescent="0.2">
      <c r="A198" s="5"/>
      <c r="B198" s="6"/>
      <c r="C198" s="6"/>
      <c r="D198" s="6"/>
      <c r="E198" s="6"/>
      <c r="F198" s="6"/>
      <c r="G198" s="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x14ac:dyDescent="0.2">
      <c r="A199" s="5"/>
      <c r="B199" s="6"/>
      <c r="C199" s="6"/>
      <c r="D199" s="6"/>
      <c r="E199" s="6"/>
      <c r="F199" s="6"/>
      <c r="G199" s="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x14ac:dyDescent="0.2">
      <c r="A200" s="5"/>
      <c r="B200" s="6"/>
      <c r="C200" s="6"/>
      <c r="D200" s="6"/>
      <c r="E200" s="6"/>
      <c r="F200" s="6"/>
      <c r="G200" s="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x14ac:dyDescent="0.2">
      <c r="A201" s="5"/>
      <c r="B201" s="6"/>
      <c r="C201" s="6"/>
      <c r="D201" s="6"/>
      <c r="E201" s="6"/>
      <c r="F201" s="6"/>
      <c r="G201" s="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x14ac:dyDescent="0.2">
      <c r="A202" s="5"/>
      <c r="B202" s="6"/>
      <c r="C202" s="6"/>
      <c r="D202" s="6"/>
      <c r="E202" s="6"/>
      <c r="F202" s="6"/>
      <c r="G202" s="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x14ac:dyDescent="0.2">
      <c r="A203" s="5"/>
      <c r="B203" s="6"/>
      <c r="C203" s="6"/>
      <c r="D203" s="6"/>
      <c r="E203" s="6"/>
      <c r="F203" s="6"/>
      <c r="G203" s="7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x14ac:dyDescent="0.2">
      <c r="A204" s="5"/>
      <c r="B204" s="6"/>
      <c r="C204" s="6"/>
      <c r="D204" s="6"/>
      <c r="E204" s="6"/>
      <c r="F204" s="6"/>
      <c r="G204" s="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x14ac:dyDescent="0.2">
      <c r="A205" s="5"/>
      <c r="B205" s="6"/>
      <c r="C205" s="6"/>
      <c r="D205" s="6"/>
      <c r="E205" s="6"/>
      <c r="F205" s="6"/>
      <c r="G205" s="7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x14ac:dyDescent="0.2">
      <c r="A206" s="5"/>
      <c r="B206" s="6"/>
      <c r="C206" s="6"/>
      <c r="D206" s="6"/>
      <c r="E206" s="6"/>
      <c r="F206" s="6"/>
      <c r="G206" s="7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x14ac:dyDescent="0.2">
      <c r="A207" s="5"/>
      <c r="B207" s="6"/>
      <c r="C207" s="6"/>
      <c r="D207" s="6"/>
      <c r="E207" s="6"/>
      <c r="F207" s="6"/>
      <c r="G207" s="7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x14ac:dyDescent="0.2">
      <c r="A208" s="5"/>
      <c r="B208" s="6"/>
      <c r="C208" s="6"/>
      <c r="D208" s="6"/>
      <c r="E208" s="6"/>
      <c r="F208" s="6"/>
      <c r="G208" s="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x14ac:dyDescent="0.2">
      <c r="A209" s="5"/>
      <c r="B209" s="6"/>
      <c r="C209" s="6"/>
      <c r="D209" s="6"/>
      <c r="E209" s="6"/>
      <c r="F209" s="6"/>
      <c r="G209" s="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x14ac:dyDescent="0.2">
      <c r="A210" s="5"/>
      <c r="B210" s="6"/>
      <c r="C210" s="6"/>
      <c r="D210" s="6"/>
      <c r="E210" s="6"/>
      <c r="F210" s="6"/>
      <c r="G210" s="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x14ac:dyDescent="0.2">
      <c r="A211" s="5"/>
      <c r="B211" s="6"/>
      <c r="C211" s="6"/>
      <c r="D211" s="6"/>
      <c r="E211" s="6"/>
      <c r="F211" s="6"/>
      <c r="G211" s="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x14ac:dyDescent="0.2">
      <c r="A212" s="5"/>
      <c r="B212" s="6"/>
      <c r="C212" s="6"/>
      <c r="D212" s="6"/>
      <c r="E212" s="6"/>
      <c r="F212" s="6"/>
      <c r="G212" s="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</sheetData>
  <mergeCells count="91">
    <mergeCell ref="Q3:R3"/>
    <mergeCell ref="O1:P1"/>
    <mergeCell ref="A2:P2"/>
    <mergeCell ref="A56:P56"/>
    <mergeCell ref="D84:D86"/>
    <mergeCell ref="A50:A52"/>
    <mergeCell ref="B50:B52"/>
    <mergeCell ref="C50:C52"/>
    <mergeCell ref="D50:D52"/>
    <mergeCell ref="A53:G53"/>
    <mergeCell ref="A54:G54"/>
    <mergeCell ref="A44:A46"/>
    <mergeCell ref="B44:B46"/>
    <mergeCell ref="C44:C46"/>
    <mergeCell ref="D44:D46"/>
    <mergeCell ref="A47:A49"/>
    <mergeCell ref="D87:D89"/>
    <mergeCell ref="A65:G65"/>
    <mergeCell ref="A55:G55"/>
    <mergeCell ref="A57:A59"/>
    <mergeCell ref="B57:B59"/>
    <mergeCell ref="C57:C59"/>
    <mergeCell ref="D57:D59"/>
    <mergeCell ref="D90:D92"/>
    <mergeCell ref="D93:D95"/>
    <mergeCell ref="H3:P3"/>
    <mergeCell ref="A6:P6"/>
    <mergeCell ref="A7:P7"/>
    <mergeCell ref="E68:G68"/>
    <mergeCell ref="D69:D71"/>
    <mergeCell ref="D72:D74"/>
    <mergeCell ref="D75:D77"/>
    <mergeCell ref="D78:D80"/>
    <mergeCell ref="D81:D83"/>
    <mergeCell ref="A60:G60"/>
    <mergeCell ref="A61:G61"/>
    <mergeCell ref="A62:G62"/>
    <mergeCell ref="A63:G63"/>
    <mergeCell ref="A64:G64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C23:C28"/>
    <mergeCell ref="D23:D25"/>
    <mergeCell ref="D26:D28"/>
    <mergeCell ref="A32:A37"/>
    <mergeCell ref="B32:B37"/>
    <mergeCell ref="C32:C34"/>
    <mergeCell ref="D32:D34"/>
    <mergeCell ref="C35:C37"/>
    <mergeCell ref="D35:D37"/>
    <mergeCell ref="A14:A16"/>
    <mergeCell ref="B14:B16"/>
    <mergeCell ref="C14:C16"/>
    <mergeCell ref="D14:D16"/>
    <mergeCell ref="A29:A31"/>
    <mergeCell ref="B29:B31"/>
    <mergeCell ref="C29:C31"/>
    <mergeCell ref="D29:D31"/>
    <mergeCell ref="A17:A22"/>
    <mergeCell ref="B17:B22"/>
    <mergeCell ref="C17:C19"/>
    <mergeCell ref="D17:D19"/>
    <mergeCell ref="C20:C22"/>
    <mergeCell ref="D20:D22"/>
    <mergeCell ref="A23:A28"/>
    <mergeCell ref="B23:B28"/>
    <mergeCell ref="A8:A10"/>
    <mergeCell ref="B8:B10"/>
    <mergeCell ref="C8:C10"/>
    <mergeCell ref="D8:D10"/>
    <mergeCell ref="A11:A13"/>
    <mergeCell ref="B11:B13"/>
    <mergeCell ref="C11:C13"/>
    <mergeCell ref="D11:D13"/>
    <mergeCell ref="G1:N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6" orientation="landscape" r:id="rId1"/>
  <rowBreaks count="2" manualBreakCount="2">
    <brk id="16" max="15" man="1"/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сравнительная</vt:lpstr>
      <vt:lpstr>'приложение 2'!Заголовки_для_печати</vt:lpstr>
      <vt:lpstr>'приложение 2'!Область_печати</vt:lpstr>
      <vt:lpstr>сравнительная!Область_печати</vt:lpstr>
    </vt:vector>
  </TitlesOfParts>
  <Company>admkhanty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TchernyhD</dc:creator>
  <cp:lastModifiedBy>RomanovskayaKB</cp:lastModifiedBy>
  <cp:lastPrinted>2015-12-18T07:07:55Z</cp:lastPrinted>
  <dcterms:created xsi:type="dcterms:W3CDTF">2003-07-24T03:31:53Z</dcterms:created>
  <dcterms:modified xsi:type="dcterms:W3CDTF">2015-12-23T09:20:59Z</dcterms:modified>
</cp:coreProperties>
</file>